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E:\Mike Work\"/>
    </mc:Choice>
  </mc:AlternateContent>
  <xr:revisionPtr revIDLastSave="0" documentId="13_ncr:1_{BA81427E-2007-4649-8DDA-90F955A0E0C3}" xr6:coauthVersionLast="47" xr6:coauthVersionMax="47" xr10:uidLastSave="{00000000-0000-0000-0000-000000000000}"/>
  <workbookProtection workbookAlgorithmName="SHA-512" workbookHashValue="19oQgwsajAhECUPjAZqS5YUsFnrA+Fba0iodbPQVfYxa8AEfjkm1h7XSdz74QpS2lvqbD8DOeIH856Wq25NCag==" workbookSaltValue="MvMfkKBVpuSKHkiHNbB02w==" workbookSpinCount="100000" lockStructure="1"/>
  <bookViews>
    <workbookView xWindow="-120" yWindow="-120" windowWidth="29040" windowHeight="15840" tabRatio="603" xr2:uid="{00000000-000D-0000-FFFF-FFFF00000000}"/>
  </bookViews>
  <sheets>
    <sheet name="Flow Chart" sheetId="73" r:id="rId1"/>
    <sheet name="Point Intensities" sheetId="51" r:id="rId2"/>
    <sheet name="Kirpich tc" sheetId="59" r:id="rId3"/>
    <sheet name="Impervious Area, IA" sheetId="65" r:id="rId4"/>
    <sheet name="Composite C" sheetId="68" r:id="rId5"/>
    <sheet name="Andalusia" sheetId="23" r:id="rId6"/>
    <sheet name="Anniston" sheetId="24" r:id="rId7"/>
    <sheet name="Birmingham" sheetId="25" r:id="rId8"/>
    <sheet name="Bridgeport" sheetId="4" r:id="rId9"/>
    <sheet name="Dauphin Island" sheetId="26" r:id="rId10"/>
    <sheet name="Dothan" sheetId="6" r:id="rId11"/>
    <sheet name="Eufaula" sheetId="8" r:id="rId12"/>
    <sheet name="Evergreen" sheetId="7" r:id="rId13"/>
    <sheet name="Florence" sheetId="9" r:id="rId14"/>
    <sheet name="Fort Payne" sheetId="10" r:id="rId15"/>
    <sheet name="Hamilton" sheetId="11" r:id="rId16"/>
    <sheet name=" Huntsville Intnl" sheetId="12" r:id="rId17"/>
    <sheet name="Jackson" sheetId="13" r:id="rId18"/>
    <sheet name="Livingston" sheetId="14" r:id="rId19"/>
    <sheet name="Mobile" sheetId="15" r:id="rId20"/>
    <sheet name="Montgomery" sheetId="16" r:id="rId21"/>
    <sheet name="Mount Vernon" sheetId="50" r:id="rId22"/>
    <sheet name="Oneonta" sheetId="17" r:id="rId23"/>
    <sheet name="Opelika" sheetId="18" r:id="rId24"/>
    <sheet name="Prattville" sheetId="19" r:id="rId25"/>
    <sheet name="Thomasville" sheetId="20" r:id="rId26"/>
    <sheet name="Troy" sheetId="21" r:id="rId27"/>
    <sheet name="Tuscaloosa" sheetId="22" r:id="rId28"/>
    <sheet name="Flood Regions" sheetId="72" r:id="rId29"/>
    <sheet name="10-85% Slope" sheetId="54" r:id="rId30"/>
    <sheet name="2020 Large Regression Equations" sheetId="77" r:id="rId31"/>
    <sheet name="P D" sheetId="76" r:id="rId32"/>
    <sheet name="2020 Small Rural Regression Eq." sheetId="80" r:id="rId33"/>
    <sheet name="2010 Urban Regression Eq." sheetId="31" r:id="rId34"/>
    <sheet name="Hydrograph" sheetId="55" r:id="rId35"/>
    <sheet name="Runoff Volume" sheetId="56" r:id="rId36"/>
    <sheet name="2007 Large Rural Regression Eq." sheetId="34" r:id="rId37"/>
    <sheet name="2004 Small Rural Regression Eq." sheetId="33" r:id="rId38"/>
    <sheet name="Intensity Coefficients" sheetId="57" r:id="rId39"/>
  </sheets>
  <externalReferences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68" l="1"/>
  <c r="N29" i="68" s="1"/>
  <c r="I24" i="68"/>
  <c r="N24" i="68" s="1"/>
  <c r="G11" i="80"/>
  <c r="I8" i="77" l="1"/>
  <c r="B30" i="80" l="1"/>
  <c r="B42" i="80" l="1"/>
  <c r="C35" i="77" l="1"/>
  <c r="D38" i="77" s="1"/>
  <c r="K32" i="77" l="1"/>
  <c r="I10" i="31"/>
  <c r="H9" i="77" l="1"/>
  <c r="C25" i="77" l="1"/>
  <c r="D27" i="77" s="1"/>
  <c r="K21" i="77" l="1"/>
  <c r="J21" i="77"/>
  <c r="L26" i="77"/>
  <c r="C32" i="80"/>
  <c r="H27" i="80" s="1"/>
  <c r="G18" i="80"/>
  <c r="G17" i="80"/>
  <c r="G16" i="80"/>
  <c r="G15" i="80"/>
  <c r="G14" i="80"/>
  <c r="G13" i="80"/>
  <c r="G12" i="80"/>
  <c r="C44" i="80" l="1"/>
  <c r="H46" i="80" l="1"/>
  <c r="H39" i="80"/>
  <c r="H45" i="80"/>
  <c r="H44" i="80"/>
  <c r="H43" i="80"/>
  <c r="H42" i="80"/>
  <c r="H41" i="80"/>
  <c r="H40" i="80"/>
  <c r="H34" i="80"/>
  <c r="H31" i="80"/>
  <c r="H30" i="80"/>
  <c r="H33" i="80"/>
  <c r="H29" i="80"/>
  <c r="H28" i="80"/>
  <c r="H32" i="80"/>
  <c r="J15" i="77" l="1"/>
  <c r="I15" i="77"/>
  <c r="H15" i="77"/>
  <c r="G15" i="77"/>
  <c r="J14" i="77"/>
  <c r="I14" i="77"/>
  <c r="H14" i="77"/>
  <c r="G14" i="77"/>
  <c r="J13" i="77"/>
  <c r="I13" i="77"/>
  <c r="H13" i="77"/>
  <c r="G13" i="77"/>
  <c r="J12" i="77"/>
  <c r="I12" i="77"/>
  <c r="H12" i="77"/>
  <c r="G12" i="77"/>
  <c r="J11" i="77"/>
  <c r="I11" i="77"/>
  <c r="H11" i="77"/>
  <c r="G11" i="77"/>
  <c r="J10" i="77"/>
  <c r="I10" i="77"/>
  <c r="K34" i="77" s="1"/>
  <c r="H10" i="77"/>
  <c r="G10" i="77"/>
  <c r="J9" i="77"/>
  <c r="I9" i="77"/>
  <c r="G9" i="77"/>
  <c r="J8" i="77"/>
  <c r="H8" i="77"/>
  <c r="G8" i="77"/>
  <c r="L32" i="77" l="1"/>
  <c r="J27" i="77"/>
  <c r="K25" i="77"/>
  <c r="L23" i="77"/>
  <c r="L21" i="77"/>
  <c r="I27" i="77"/>
  <c r="J25" i="77"/>
  <c r="K23" i="77"/>
  <c r="L28" i="77"/>
  <c r="I25" i="77"/>
  <c r="J23" i="77"/>
  <c r="I23" i="77"/>
  <c r="I21" i="77"/>
  <c r="K28" i="77"/>
  <c r="J28" i="77"/>
  <c r="K26" i="77"/>
  <c r="L24" i="77"/>
  <c r="L22" i="77"/>
  <c r="I28" i="77"/>
  <c r="J26" i="77"/>
  <c r="K24" i="77"/>
  <c r="K22" i="77"/>
  <c r="L27" i="77"/>
  <c r="I26" i="77"/>
  <c r="J24" i="77"/>
  <c r="J22" i="77"/>
  <c r="K27" i="77"/>
  <c r="L25" i="77"/>
  <c r="I24" i="77"/>
  <c r="I22" i="77"/>
  <c r="L39" i="77"/>
  <c r="I36" i="77"/>
  <c r="J34" i="77"/>
  <c r="J32" i="77"/>
  <c r="K39" i="77"/>
  <c r="L37" i="77"/>
  <c r="L35" i="77"/>
  <c r="I34" i="77"/>
  <c r="I32" i="77"/>
  <c r="J39" i="77"/>
  <c r="K37" i="77"/>
  <c r="K35" i="77"/>
  <c r="L33" i="77"/>
  <c r="I39" i="77"/>
  <c r="J37" i="77"/>
  <c r="J35" i="77"/>
  <c r="K33" i="77"/>
  <c r="L38" i="77"/>
  <c r="I37" i="77"/>
  <c r="I35" i="77"/>
  <c r="J33" i="77"/>
  <c r="I33" i="77"/>
  <c r="K38" i="77"/>
  <c r="L36" i="77"/>
  <c r="J38" i="77"/>
  <c r="K36" i="77"/>
  <c r="L34" i="77"/>
  <c r="I38" i="77"/>
  <c r="J36" i="77"/>
  <c r="C32" i="68"/>
  <c r="F28" i="76" l="1"/>
  <c r="G28" i="76" s="1"/>
  <c r="G27" i="76"/>
  <c r="D26" i="76"/>
  <c r="F26" i="76" s="1"/>
  <c r="G26" i="76" s="1"/>
  <c r="F25" i="76"/>
  <c r="G25" i="76" s="1"/>
  <c r="F24" i="76"/>
  <c r="G24" i="76" s="1"/>
  <c r="G22" i="76"/>
  <c r="G44" i="76" s="1"/>
  <c r="G46" i="76" l="1"/>
  <c r="E27" i="54" l="1"/>
  <c r="E24" i="54" l="1"/>
  <c r="D25" i="54"/>
  <c r="E25" i="54" s="1"/>
  <c r="D26" i="54"/>
  <c r="E26" i="54" s="1"/>
  <c r="Q26" i="59" l="1"/>
  <c r="I11" i="31"/>
  <c r="I14" i="31"/>
  <c r="H10" i="33" l="1"/>
  <c r="B28" i="31" l="1"/>
  <c r="C34" i="31" s="1"/>
  <c r="H39" i="31" l="1"/>
  <c r="H33" i="31"/>
  <c r="H37" i="31"/>
  <c r="H34" i="31"/>
  <c r="I17" i="31"/>
  <c r="H40" i="31" s="1"/>
  <c r="I16" i="31"/>
  <c r="I15" i="31"/>
  <c r="H38" i="31" s="1"/>
  <c r="I13" i="31" l="1"/>
  <c r="H36" i="31" s="1"/>
  <c r="L25" i="59" l="1"/>
  <c r="L27" i="59" s="1"/>
  <c r="N25" i="59"/>
  <c r="N27" i="59" s="1"/>
  <c r="H26" i="59" l="1"/>
  <c r="H39" i="59"/>
  <c r="Q39" i="59"/>
  <c r="H16" i="33" l="1"/>
  <c r="K3" i="65" l="1"/>
  <c r="F27" i="65" l="1"/>
  <c r="F28" i="65"/>
  <c r="F29" i="65"/>
  <c r="E41" i="68"/>
  <c r="I41" i="68" s="1"/>
  <c r="C41" i="68"/>
  <c r="B41" i="68" s="1"/>
  <c r="I31" i="68"/>
  <c r="N31" i="68" s="1"/>
  <c r="I30" i="68"/>
  <c r="N30" i="68" s="1"/>
  <c r="I28" i="68"/>
  <c r="N28" i="68" s="1"/>
  <c r="I27" i="68"/>
  <c r="N27" i="68" s="1"/>
  <c r="I26" i="68"/>
  <c r="N26" i="68" s="1"/>
  <c r="I25" i="68"/>
  <c r="N25" i="68" s="1"/>
  <c r="I23" i="68"/>
  <c r="N23" i="68" s="1"/>
  <c r="I22" i="68"/>
  <c r="N22" i="68" s="1"/>
  <c r="I21" i="68"/>
  <c r="N21" i="68" s="1"/>
  <c r="I20" i="68"/>
  <c r="N20" i="68" s="1"/>
  <c r="I19" i="68"/>
  <c r="N19" i="68" s="1"/>
  <c r="I18" i="68"/>
  <c r="N18" i="68" s="1"/>
  <c r="I17" i="68"/>
  <c r="I32" i="68" l="1"/>
  <c r="D41" i="68"/>
  <c r="N17" i="68"/>
  <c r="N32" i="68" s="1"/>
  <c r="F41" i="68"/>
  <c r="O32" i="68" l="1"/>
  <c r="H41" i="68" s="1"/>
  <c r="J41" i="68" s="1"/>
  <c r="K41" i="68" s="1"/>
  <c r="L41" i="68" s="1"/>
  <c r="G46" i="65" l="1"/>
  <c r="O43" i="65"/>
  <c r="G43" i="65"/>
  <c r="N42" i="65"/>
  <c r="O42" i="65" s="1"/>
  <c r="F42" i="65"/>
  <c r="G42" i="65" s="1"/>
  <c r="N41" i="65"/>
  <c r="O41" i="65" s="1"/>
  <c r="F41" i="65"/>
  <c r="G41" i="65" s="1"/>
  <c r="N40" i="65"/>
  <c r="O40" i="65" s="1"/>
  <c r="F40" i="65"/>
  <c r="G40" i="65" s="1"/>
  <c r="N39" i="65"/>
  <c r="F39" i="65"/>
  <c r="G39" i="65" s="1"/>
  <c r="O38" i="65"/>
  <c r="O37" i="65"/>
  <c r="F37" i="65"/>
  <c r="G37" i="65" s="1"/>
  <c r="O36" i="65"/>
  <c r="F36" i="65"/>
  <c r="G36" i="65" s="1"/>
  <c r="O35" i="65"/>
  <c r="F35" i="65"/>
  <c r="G35" i="65" s="1"/>
  <c r="O34" i="65"/>
  <c r="F34" i="65"/>
  <c r="G34" i="65" s="1"/>
  <c r="O33" i="65"/>
  <c r="F33" i="65"/>
  <c r="G33" i="65" s="1"/>
  <c r="O32" i="65"/>
  <c r="F32" i="65"/>
  <c r="G32" i="65" s="1"/>
  <c r="O31" i="65"/>
  <c r="F31" i="65"/>
  <c r="G31" i="65" s="1"/>
  <c r="O30" i="65"/>
  <c r="F30" i="65"/>
  <c r="G30" i="65" s="1"/>
  <c r="N29" i="65"/>
  <c r="O29" i="65" s="1"/>
  <c r="G29" i="65"/>
  <c r="N28" i="65"/>
  <c r="O28" i="65" s="1"/>
  <c r="G28" i="65"/>
  <c r="O27" i="65"/>
  <c r="G27" i="65"/>
  <c r="F26" i="65"/>
  <c r="G26" i="65" s="1"/>
  <c r="N25" i="65"/>
  <c r="O25" i="65" s="1"/>
  <c r="N24" i="65"/>
  <c r="O24" i="65" s="1"/>
  <c r="F24" i="65"/>
  <c r="G24" i="65" s="1"/>
  <c r="N23" i="65"/>
  <c r="O23" i="65" s="1"/>
  <c r="F23" i="65"/>
  <c r="G23" i="65" s="1"/>
  <c r="N22" i="65"/>
  <c r="O22" i="65" s="1"/>
  <c r="F22" i="65"/>
  <c r="G22" i="65" s="1"/>
  <c r="F21" i="65"/>
  <c r="G21" i="65" s="1"/>
  <c r="F20" i="65"/>
  <c r="G20" i="65" s="1"/>
  <c r="N19" i="65"/>
  <c r="O19" i="65" s="1"/>
  <c r="F19" i="65"/>
  <c r="G19" i="65" s="1"/>
  <c r="N18" i="65"/>
  <c r="O18" i="65" s="1"/>
  <c r="F18" i="65"/>
  <c r="G18" i="65" s="1"/>
  <c r="N17" i="65"/>
  <c r="O17" i="65" s="1"/>
  <c r="F17" i="65"/>
  <c r="G17" i="65" s="1"/>
  <c r="N16" i="65"/>
  <c r="O16" i="65" s="1"/>
  <c r="F16" i="65"/>
  <c r="G16" i="65" s="1"/>
  <c r="N15" i="65"/>
  <c r="O15" i="65" s="1"/>
  <c r="F15" i="65"/>
  <c r="G15" i="65" s="1"/>
  <c r="N14" i="65"/>
  <c r="O14" i="65" s="1"/>
  <c r="F14" i="65"/>
  <c r="G14" i="65" s="1"/>
  <c r="J10" i="65"/>
  <c r="J9" i="65"/>
  <c r="J7" i="65"/>
  <c r="O6" i="65"/>
  <c r="N6" i="65"/>
  <c r="M6" i="65"/>
  <c r="J6" i="65"/>
  <c r="J5" i="65"/>
  <c r="O39" i="65" l="1"/>
  <c r="N46" i="65"/>
  <c r="O46" i="65" s="1"/>
  <c r="O48" i="65" s="1"/>
  <c r="O49" i="65" s="1"/>
  <c r="N26" i="65"/>
  <c r="O26" i="65" s="1"/>
  <c r="F25" i="65"/>
  <c r="G25" i="65" s="1"/>
  <c r="N20" i="65"/>
  <c r="O20" i="65" s="1"/>
  <c r="F38" i="65"/>
  <c r="G38" i="65" s="1"/>
  <c r="D23" i="59" l="1"/>
  <c r="M23" i="59"/>
  <c r="M25" i="59" s="1"/>
  <c r="M27" i="59" l="1"/>
  <c r="M28" i="59" s="1"/>
  <c r="M31" i="59" s="1"/>
  <c r="G41" i="59"/>
  <c r="G44" i="59" s="1"/>
  <c r="P38" i="59"/>
  <c r="P40" i="59" s="1"/>
  <c r="P41" i="59" s="1"/>
  <c r="P44" i="59" s="1"/>
  <c r="O38" i="59"/>
  <c r="N38" i="59"/>
  <c r="L38" i="59"/>
  <c r="G38" i="59"/>
  <c r="G40" i="59" s="1"/>
  <c r="F38" i="59"/>
  <c r="E38" i="59"/>
  <c r="E40" i="59" s="1"/>
  <c r="E41" i="59" s="1"/>
  <c r="E44" i="59" s="1"/>
  <c r="C38" i="59"/>
  <c r="M38" i="59"/>
  <c r="M40" i="59" s="1"/>
  <c r="D38" i="59"/>
  <c r="P28" i="59"/>
  <c r="P31" i="59" s="1"/>
  <c r="P25" i="59"/>
  <c r="P27" i="59" s="1"/>
  <c r="O25" i="59"/>
  <c r="Q25" i="59" s="1"/>
  <c r="N28" i="59"/>
  <c r="N31" i="59" s="1"/>
  <c r="L28" i="59"/>
  <c r="L31" i="59" s="1"/>
  <c r="G25" i="59"/>
  <c r="G27" i="59" s="1"/>
  <c r="G28" i="59" s="1"/>
  <c r="G31" i="59" s="1"/>
  <c r="F25" i="59"/>
  <c r="E25" i="59"/>
  <c r="E27" i="59" s="1"/>
  <c r="E28" i="59" s="1"/>
  <c r="E31" i="59" s="1"/>
  <c r="D25" i="59"/>
  <c r="C25" i="59"/>
  <c r="K11" i="59"/>
  <c r="K10" i="59"/>
  <c r="K8" i="59"/>
  <c r="P7" i="59"/>
  <c r="O7" i="59"/>
  <c r="N7" i="59"/>
  <c r="K7" i="59"/>
  <c r="K6" i="59"/>
  <c r="K5" i="59"/>
  <c r="N40" i="59" l="1"/>
  <c r="N41" i="59" s="1"/>
  <c r="N44" i="59" s="1"/>
  <c r="D40" i="59"/>
  <c r="D41" i="59" s="1"/>
  <c r="D44" i="59" s="1"/>
  <c r="C40" i="59"/>
  <c r="C41" i="59" s="1"/>
  <c r="C44" i="59" s="1"/>
  <c r="H38" i="59"/>
  <c r="C31" i="59"/>
  <c r="C27" i="59"/>
  <c r="C28" i="59" s="1"/>
  <c r="F40" i="59"/>
  <c r="F41" i="59" s="1"/>
  <c r="F44" i="59" s="1"/>
  <c r="O40" i="59"/>
  <c r="O41" i="59" s="1"/>
  <c r="O44" i="59" s="1"/>
  <c r="D27" i="59"/>
  <c r="D28" i="59" s="1"/>
  <c r="D31" i="59" s="1"/>
  <c r="O28" i="59"/>
  <c r="O31" i="59" s="1"/>
  <c r="Q31" i="59" s="1"/>
  <c r="O27" i="59"/>
  <c r="L40" i="59"/>
  <c r="L41" i="59" s="1"/>
  <c r="L44" i="59" s="1"/>
  <c r="Q38" i="59"/>
  <c r="F27" i="59"/>
  <c r="F28" i="59" s="1"/>
  <c r="F31" i="59" s="1"/>
  <c r="H25" i="59"/>
  <c r="M41" i="59"/>
  <c r="H44" i="59" l="1"/>
  <c r="H31" i="59"/>
  <c r="M44" i="59"/>
  <c r="Q44" i="59" s="1"/>
  <c r="F11" i="59" s="1"/>
  <c r="O11" i="59" s="1"/>
  <c r="I48" i="56" l="1"/>
  <c r="I50" i="56" s="1"/>
  <c r="G48" i="56"/>
  <c r="I47" i="56"/>
  <c r="G47" i="56"/>
  <c r="I46" i="56"/>
  <c r="G46" i="56"/>
  <c r="I45" i="56"/>
  <c r="G45" i="56"/>
  <c r="A45" i="56"/>
  <c r="I44" i="56"/>
  <c r="G44" i="56"/>
  <c r="I43" i="56"/>
  <c r="G43" i="56"/>
  <c r="I42" i="56"/>
  <c r="G42" i="56"/>
  <c r="I41" i="56"/>
  <c r="G41" i="56"/>
  <c r="I40" i="56"/>
  <c r="G40" i="56"/>
  <c r="I39" i="56"/>
  <c r="G39" i="56"/>
  <c r="I38" i="56"/>
  <c r="G38" i="56"/>
  <c r="I37" i="56"/>
  <c r="G37" i="56"/>
  <c r="I36" i="56"/>
  <c r="G36" i="56"/>
  <c r="I35" i="56"/>
  <c r="G35" i="56"/>
  <c r="I34" i="56"/>
  <c r="G34" i="56"/>
  <c r="I33" i="56"/>
  <c r="G33" i="56"/>
  <c r="I32" i="56"/>
  <c r="G32" i="56"/>
  <c r="I31" i="56"/>
  <c r="G31" i="56"/>
  <c r="I30" i="56"/>
  <c r="G30" i="56"/>
  <c r="I29" i="56"/>
  <c r="G29" i="56"/>
  <c r="I28" i="56"/>
  <c r="G28" i="56"/>
  <c r="I27" i="56"/>
  <c r="G27" i="56"/>
  <c r="I26" i="56"/>
  <c r="G26" i="56"/>
  <c r="I25" i="56"/>
  <c r="G25" i="56"/>
  <c r="I24" i="56"/>
  <c r="G24" i="56"/>
  <c r="I23" i="56"/>
  <c r="G23" i="56"/>
  <c r="I22" i="56"/>
  <c r="G22" i="56"/>
  <c r="I21" i="56"/>
  <c r="G21" i="56"/>
  <c r="I20" i="56"/>
  <c r="G20" i="56"/>
  <c r="I19" i="56"/>
  <c r="G19" i="56"/>
  <c r="I18" i="56"/>
  <c r="G18" i="56"/>
  <c r="I17" i="56"/>
  <c r="G17" i="56"/>
  <c r="I16" i="56"/>
  <c r="G16" i="56"/>
  <c r="B16" i="56"/>
  <c r="A47" i="56" s="1"/>
  <c r="I15" i="56"/>
  <c r="G15" i="56"/>
  <c r="I14" i="56"/>
  <c r="G14" i="56"/>
  <c r="B14" i="56"/>
  <c r="F39" i="56" s="1"/>
  <c r="H39" i="56" s="1"/>
  <c r="I13" i="56"/>
  <c r="G13" i="56"/>
  <c r="I12" i="56"/>
  <c r="G12" i="56"/>
  <c r="I11" i="56"/>
  <c r="G11" i="56"/>
  <c r="I10" i="56"/>
  <c r="G10" i="56"/>
  <c r="I9" i="56"/>
  <c r="G9" i="56"/>
  <c r="I8" i="56"/>
  <c r="G8" i="56"/>
  <c r="I7" i="56"/>
  <c r="G7" i="56"/>
  <c r="I6" i="56"/>
  <c r="G6" i="56"/>
  <c r="F30" i="56" l="1"/>
  <c r="H30" i="56" s="1"/>
  <c r="F8" i="56"/>
  <c r="H8" i="56" s="1"/>
  <c r="F21" i="56"/>
  <c r="H21" i="56" s="1"/>
  <c r="F24" i="56"/>
  <c r="H24" i="56" s="1"/>
  <c r="F43" i="56"/>
  <c r="H43" i="56" s="1"/>
  <c r="F19" i="56"/>
  <c r="H19" i="56" s="1"/>
  <c r="F22" i="56"/>
  <c r="H22" i="56" s="1"/>
  <c r="F40" i="56"/>
  <c r="H40" i="56" s="1"/>
  <c r="J39" i="56" s="1"/>
  <c r="F6" i="56"/>
  <c r="H6" i="56" s="1"/>
  <c r="F13" i="56"/>
  <c r="H13" i="56" s="1"/>
  <c r="F37" i="56"/>
  <c r="H37" i="56" s="1"/>
  <c r="F46" i="56"/>
  <c r="H46" i="56" s="1"/>
  <c r="F27" i="56"/>
  <c r="H27" i="56" s="1"/>
  <c r="F35" i="56"/>
  <c r="H35" i="56" s="1"/>
  <c r="F38" i="56"/>
  <c r="H38" i="56" s="1"/>
  <c r="J38" i="56" s="1"/>
  <c r="F7" i="56"/>
  <c r="H7" i="56" s="1"/>
  <c r="F16" i="56"/>
  <c r="H16" i="56" s="1"/>
  <c r="F29" i="56"/>
  <c r="H29" i="56" s="1"/>
  <c r="F32" i="56"/>
  <c r="H32" i="56" s="1"/>
  <c r="F10" i="56"/>
  <c r="H10" i="56" s="1"/>
  <c r="F20" i="56"/>
  <c r="H20" i="56" s="1"/>
  <c r="F28" i="56"/>
  <c r="H28" i="56" s="1"/>
  <c r="F36" i="56"/>
  <c r="H36" i="56" s="1"/>
  <c r="F44" i="56"/>
  <c r="H44" i="56" s="1"/>
  <c r="F11" i="56"/>
  <c r="H11" i="56" s="1"/>
  <c r="F14" i="56"/>
  <c r="H14" i="56" s="1"/>
  <c r="F17" i="56"/>
  <c r="H17" i="56" s="1"/>
  <c r="F25" i="56"/>
  <c r="H25" i="56" s="1"/>
  <c r="F33" i="56"/>
  <c r="H33" i="56" s="1"/>
  <c r="F41" i="56"/>
  <c r="H41" i="56" s="1"/>
  <c r="F47" i="56"/>
  <c r="H47" i="56" s="1"/>
  <c r="F12" i="56"/>
  <c r="H12" i="56" s="1"/>
  <c r="F15" i="56"/>
  <c r="H15" i="56" s="1"/>
  <c r="F18" i="56"/>
  <c r="H18" i="56" s="1"/>
  <c r="F26" i="56"/>
  <c r="H26" i="56" s="1"/>
  <c r="F34" i="56"/>
  <c r="H34" i="56" s="1"/>
  <c r="F42" i="56"/>
  <c r="H42" i="56" s="1"/>
  <c r="F45" i="56"/>
  <c r="H45" i="56" s="1"/>
  <c r="F48" i="56"/>
  <c r="H48" i="56" s="1"/>
  <c r="F9" i="56"/>
  <c r="H9" i="56" s="1"/>
  <c r="F23" i="56"/>
  <c r="H23" i="56" s="1"/>
  <c r="F31" i="56"/>
  <c r="H31" i="56" s="1"/>
  <c r="B159" i="57"/>
  <c r="B158" i="57"/>
  <c r="B105" i="57"/>
  <c r="B104" i="57"/>
  <c r="B68" i="57"/>
  <c r="B67" i="57"/>
  <c r="B6" i="57"/>
  <c r="B5" i="57"/>
  <c r="J40" i="56" l="1"/>
  <c r="J19" i="56"/>
  <c r="J21" i="56"/>
  <c r="J37" i="56"/>
  <c r="J22" i="56"/>
  <c r="J7" i="56"/>
  <c r="J12" i="56"/>
  <c r="J13" i="56"/>
  <c r="J18" i="56"/>
  <c r="J14" i="56"/>
  <c r="J6" i="56"/>
  <c r="J30" i="56"/>
  <c r="J9" i="56"/>
  <c r="J36" i="56"/>
  <c r="J29" i="56"/>
  <c r="J43" i="56"/>
  <c r="J31" i="56"/>
  <c r="J33" i="56"/>
  <c r="J24" i="56"/>
  <c r="J15" i="56"/>
  <c r="H50" i="56"/>
  <c r="J50" i="56" s="1"/>
  <c r="J46" i="56"/>
  <c r="J44" i="56"/>
  <c r="J23" i="56"/>
  <c r="J26" i="56"/>
  <c r="J16" i="56"/>
  <c r="J8" i="56"/>
  <c r="J10" i="56"/>
  <c r="J20" i="56"/>
  <c r="J41" i="56"/>
  <c r="J32" i="56"/>
  <c r="J28" i="56"/>
  <c r="J45" i="56"/>
  <c r="J35" i="56"/>
  <c r="J47" i="56"/>
  <c r="J27" i="56"/>
  <c r="J34" i="56"/>
  <c r="J25" i="56"/>
  <c r="J17" i="56"/>
  <c r="J42" i="56"/>
  <c r="J11" i="56"/>
  <c r="J48" i="56" l="1"/>
  <c r="J51" i="56" s="1"/>
  <c r="H13" i="33"/>
  <c r="J49" i="56" l="1"/>
  <c r="H49" i="55" l="1"/>
  <c r="G49" i="55"/>
  <c r="H48" i="55"/>
  <c r="G48" i="55"/>
  <c r="H47" i="55"/>
  <c r="G47" i="55"/>
  <c r="H46" i="55"/>
  <c r="G46" i="55"/>
  <c r="H45" i="55"/>
  <c r="G45" i="55"/>
  <c r="H44" i="55"/>
  <c r="G44" i="55"/>
  <c r="H43" i="55"/>
  <c r="G43" i="55"/>
  <c r="H42" i="55"/>
  <c r="G42" i="55"/>
  <c r="H41" i="55"/>
  <c r="G41" i="55"/>
  <c r="H40" i="55"/>
  <c r="G40" i="55"/>
  <c r="H39" i="55"/>
  <c r="G39" i="55"/>
  <c r="H38" i="55"/>
  <c r="G38" i="55"/>
  <c r="H37" i="55"/>
  <c r="G37" i="55"/>
  <c r="H36" i="55"/>
  <c r="G36" i="55"/>
  <c r="H35" i="55"/>
  <c r="G35" i="55"/>
  <c r="H34" i="55"/>
  <c r="G34" i="55"/>
  <c r="H33" i="55"/>
  <c r="G33" i="55"/>
  <c r="H32" i="55"/>
  <c r="G32" i="55"/>
  <c r="H31" i="55"/>
  <c r="G31" i="55"/>
  <c r="H30" i="55"/>
  <c r="G30" i="55"/>
  <c r="H29" i="55"/>
  <c r="G29" i="55"/>
  <c r="H28" i="55"/>
  <c r="G28" i="55"/>
  <c r="H27" i="55"/>
  <c r="G27" i="55"/>
  <c r="H26" i="55"/>
  <c r="G26" i="55"/>
  <c r="H25" i="55"/>
  <c r="G25" i="55"/>
  <c r="H24" i="55"/>
  <c r="G24" i="55"/>
  <c r="H23" i="55"/>
  <c r="G23" i="55"/>
  <c r="H22" i="55"/>
  <c r="G22" i="55"/>
  <c r="H21" i="55"/>
  <c r="G21" i="55"/>
  <c r="H20" i="55"/>
  <c r="G20" i="55"/>
  <c r="H19" i="55"/>
  <c r="G19" i="55"/>
  <c r="H18" i="55"/>
  <c r="G18" i="55"/>
  <c r="H17" i="55"/>
  <c r="G17" i="55"/>
  <c r="H16" i="55"/>
  <c r="G16" i="55"/>
  <c r="H15" i="55"/>
  <c r="G15" i="55"/>
  <c r="H14" i="55"/>
  <c r="G14" i="55"/>
  <c r="B16" i="55"/>
  <c r="H13" i="55"/>
  <c r="G13" i="55"/>
  <c r="H12" i="55"/>
  <c r="G12" i="55"/>
  <c r="B14" i="55"/>
  <c r="F47" i="55" s="1"/>
  <c r="H11" i="55"/>
  <c r="G11" i="55"/>
  <c r="H10" i="55"/>
  <c r="G10" i="55"/>
  <c r="H9" i="55"/>
  <c r="G9" i="55"/>
  <c r="H8" i="55"/>
  <c r="G8" i="55"/>
  <c r="H7" i="55"/>
  <c r="G7" i="55"/>
  <c r="H6" i="55"/>
  <c r="G6" i="55"/>
  <c r="F28" i="54"/>
  <c r="C28" i="54"/>
  <c r="F34" i="55" l="1"/>
  <c r="F27" i="55"/>
  <c r="F6" i="55"/>
  <c r="F37" i="55"/>
  <c r="E28" i="54"/>
  <c r="G28" i="54" s="1"/>
  <c r="F7" i="55"/>
  <c r="F13" i="55"/>
  <c r="F19" i="55"/>
  <c r="F17" i="55"/>
  <c r="F18" i="55"/>
  <c r="F21" i="55"/>
  <c r="F9" i="55"/>
  <c r="F35" i="55"/>
  <c r="F42" i="55"/>
  <c r="F45" i="55"/>
  <c r="F12" i="55"/>
  <c r="F26" i="55"/>
  <c r="F29" i="55"/>
  <c r="F8" i="55"/>
  <c r="F11" i="55"/>
  <c r="F43" i="55"/>
  <c r="F16" i="55"/>
  <c r="F24" i="55"/>
  <c r="F32" i="55"/>
  <c r="F40" i="55"/>
  <c r="F48" i="55"/>
  <c r="F14" i="55"/>
  <c r="F22" i="55"/>
  <c r="F30" i="55"/>
  <c r="F38" i="55"/>
  <c r="F46" i="55"/>
  <c r="F25" i="55"/>
  <c r="F33" i="55"/>
  <c r="F41" i="55"/>
  <c r="F49" i="55"/>
  <c r="F10" i="55"/>
  <c r="F20" i="55"/>
  <c r="F28" i="55"/>
  <c r="F36" i="55"/>
  <c r="F44" i="55"/>
  <c r="F15" i="55"/>
  <c r="F23" i="55"/>
  <c r="F31" i="55"/>
  <c r="F39" i="55"/>
  <c r="D28" i="54"/>
  <c r="C19" i="50"/>
  <c r="C20" i="50" s="1"/>
  <c r="G20" i="50" s="1"/>
  <c r="H35" i="50"/>
  <c r="G35" i="50"/>
  <c r="F35" i="50"/>
  <c r="E35" i="50"/>
  <c r="D35" i="50"/>
  <c r="C35" i="50"/>
  <c r="B35" i="50"/>
  <c r="H34" i="50"/>
  <c r="G34" i="50"/>
  <c r="F34" i="50"/>
  <c r="E34" i="50"/>
  <c r="D34" i="50"/>
  <c r="C34" i="50"/>
  <c r="B34" i="50"/>
  <c r="H33" i="50"/>
  <c r="G33" i="50"/>
  <c r="F33" i="50"/>
  <c r="E33" i="50"/>
  <c r="D33" i="50"/>
  <c r="C33" i="50"/>
  <c r="B33" i="50"/>
  <c r="H32" i="50"/>
  <c r="G32" i="50"/>
  <c r="F32" i="50"/>
  <c r="E32" i="50"/>
  <c r="D32" i="50"/>
  <c r="C32" i="50"/>
  <c r="B32" i="50"/>
  <c r="H31" i="50"/>
  <c r="G31" i="50"/>
  <c r="F31" i="50"/>
  <c r="E31" i="50"/>
  <c r="D31" i="50"/>
  <c r="C31" i="50"/>
  <c r="B31" i="50"/>
  <c r="G19" i="50" l="1"/>
  <c r="C40" i="50" s="1"/>
  <c r="C21" i="50"/>
  <c r="G21" i="50" l="1"/>
  <c r="C22" i="50"/>
  <c r="C41" i="50"/>
  <c r="H11" i="33"/>
  <c r="G22" i="50" l="1"/>
  <c r="C23" i="50"/>
  <c r="C42" i="50"/>
  <c r="G23" i="50" l="1"/>
  <c r="C24" i="50"/>
  <c r="C43" i="50"/>
  <c r="I12" i="31"/>
  <c r="B40" i="33"/>
  <c r="C42" i="33" s="1"/>
  <c r="H40" i="33" s="1"/>
  <c r="B28" i="33"/>
  <c r="C30" i="33" s="1"/>
  <c r="H25" i="33" s="1"/>
  <c r="H15" i="33"/>
  <c r="H14" i="33"/>
  <c r="H12" i="33"/>
  <c r="C36" i="34"/>
  <c r="D39" i="34" s="1"/>
  <c r="C25" i="34"/>
  <c r="D28" i="34" s="1"/>
  <c r="L15" i="34"/>
  <c r="K15" i="34"/>
  <c r="J15" i="34"/>
  <c r="I15" i="34"/>
  <c r="L14" i="34"/>
  <c r="K14" i="34"/>
  <c r="J14" i="34"/>
  <c r="I14" i="34"/>
  <c r="L13" i="34"/>
  <c r="K13" i="34"/>
  <c r="J13" i="34"/>
  <c r="I13" i="34"/>
  <c r="L12" i="34"/>
  <c r="K12" i="34"/>
  <c r="J12" i="34"/>
  <c r="I12" i="34"/>
  <c r="L11" i="34"/>
  <c r="K11" i="34"/>
  <c r="J11" i="34"/>
  <c r="I11" i="34"/>
  <c r="L10" i="34"/>
  <c r="K10" i="34"/>
  <c r="J10" i="34"/>
  <c r="I10" i="34"/>
  <c r="L9" i="34"/>
  <c r="K9" i="34"/>
  <c r="J9" i="34"/>
  <c r="I9" i="34"/>
  <c r="H35" i="22"/>
  <c r="G35" i="22"/>
  <c r="F35" i="22"/>
  <c r="E35" i="22"/>
  <c r="D35" i="22"/>
  <c r="C35" i="22"/>
  <c r="B35" i="22"/>
  <c r="H34" i="22"/>
  <c r="G34" i="22"/>
  <c r="F34" i="22"/>
  <c r="E34" i="22"/>
  <c r="D34" i="22"/>
  <c r="C34" i="22"/>
  <c r="B34" i="22"/>
  <c r="H33" i="22"/>
  <c r="G33" i="22"/>
  <c r="F33" i="22"/>
  <c r="E33" i="22"/>
  <c r="D33" i="22"/>
  <c r="C33" i="22"/>
  <c r="B33" i="22"/>
  <c r="H32" i="22"/>
  <c r="G32" i="22"/>
  <c r="F32" i="22"/>
  <c r="E32" i="22"/>
  <c r="D32" i="22"/>
  <c r="C32" i="22"/>
  <c r="B32" i="22"/>
  <c r="H31" i="22"/>
  <c r="G31" i="22"/>
  <c r="F31" i="22"/>
  <c r="E31" i="22"/>
  <c r="D31" i="22"/>
  <c r="C31" i="22"/>
  <c r="B31" i="22"/>
  <c r="C19" i="22"/>
  <c r="C20" i="22" s="1"/>
  <c r="H35" i="21"/>
  <c r="G35" i="21"/>
  <c r="F35" i="21"/>
  <c r="E35" i="21"/>
  <c r="D35" i="21"/>
  <c r="C35" i="21"/>
  <c r="B35" i="21"/>
  <c r="H34" i="21"/>
  <c r="G34" i="21"/>
  <c r="F34" i="21"/>
  <c r="E34" i="21"/>
  <c r="D34" i="21"/>
  <c r="C34" i="21"/>
  <c r="B34" i="21"/>
  <c r="H33" i="21"/>
  <c r="G33" i="21"/>
  <c r="F33" i="21"/>
  <c r="E33" i="21"/>
  <c r="D33" i="21"/>
  <c r="C33" i="21"/>
  <c r="B33" i="21"/>
  <c r="H32" i="21"/>
  <c r="G32" i="21"/>
  <c r="F32" i="21"/>
  <c r="E32" i="21"/>
  <c r="D32" i="21"/>
  <c r="C32" i="21"/>
  <c r="B32" i="21"/>
  <c r="H31" i="21"/>
  <c r="G31" i="21"/>
  <c r="F31" i="21"/>
  <c r="E31" i="21"/>
  <c r="D31" i="21"/>
  <c r="C31" i="21"/>
  <c r="B31" i="21"/>
  <c r="C19" i="21"/>
  <c r="C20" i="21" s="1"/>
  <c r="H35" i="20"/>
  <c r="G35" i="20"/>
  <c r="F35" i="20"/>
  <c r="E35" i="20"/>
  <c r="D35" i="20"/>
  <c r="C35" i="20"/>
  <c r="B35" i="20"/>
  <c r="H34" i="20"/>
  <c r="G34" i="20"/>
  <c r="F34" i="20"/>
  <c r="E34" i="20"/>
  <c r="D34" i="20"/>
  <c r="C34" i="20"/>
  <c r="B34" i="20"/>
  <c r="H33" i="20"/>
  <c r="G33" i="20"/>
  <c r="F33" i="20"/>
  <c r="E33" i="20"/>
  <c r="D33" i="20"/>
  <c r="C33" i="20"/>
  <c r="B33" i="20"/>
  <c r="H32" i="20"/>
  <c r="G32" i="20"/>
  <c r="F32" i="20"/>
  <c r="E32" i="20"/>
  <c r="D32" i="20"/>
  <c r="C32" i="20"/>
  <c r="B32" i="20"/>
  <c r="H31" i="20"/>
  <c r="G31" i="20"/>
  <c r="F31" i="20"/>
  <c r="E31" i="20"/>
  <c r="D31" i="20"/>
  <c r="C31" i="20"/>
  <c r="B31" i="20"/>
  <c r="C19" i="20"/>
  <c r="G19" i="20" s="1"/>
  <c r="C40" i="20" s="1"/>
  <c r="H35" i="19"/>
  <c r="G35" i="19"/>
  <c r="F35" i="19"/>
  <c r="E35" i="19"/>
  <c r="D35" i="19"/>
  <c r="C35" i="19"/>
  <c r="B35" i="19"/>
  <c r="H34" i="19"/>
  <c r="G34" i="19"/>
  <c r="F34" i="19"/>
  <c r="E34" i="19"/>
  <c r="D34" i="19"/>
  <c r="C34" i="19"/>
  <c r="B34" i="19"/>
  <c r="H33" i="19"/>
  <c r="G33" i="19"/>
  <c r="F33" i="19"/>
  <c r="E33" i="19"/>
  <c r="D33" i="19"/>
  <c r="C33" i="19"/>
  <c r="B33" i="19"/>
  <c r="H32" i="19"/>
  <c r="G32" i="19"/>
  <c r="F32" i="19"/>
  <c r="E32" i="19"/>
  <c r="D32" i="19"/>
  <c r="C32" i="19"/>
  <c r="B32" i="19"/>
  <c r="H31" i="19"/>
  <c r="G31" i="19"/>
  <c r="F31" i="19"/>
  <c r="E31" i="19"/>
  <c r="D31" i="19"/>
  <c r="C31" i="19"/>
  <c r="B31" i="19"/>
  <c r="C19" i="19"/>
  <c r="C20" i="19" s="1"/>
  <c r="H35" i="18"/>
  <c r="G35" i="18"/>
  <c r="F35" i="18"/>
  <c r="E35" i="18"/>
  <c r="D35" i="18"/>
  <c r="C35" i="18"/>
  <c r="B35" i="18"/>
  <c r="H34" i="18"/>
  <c r="G34" i="18"/>
  <c r="F34" i="18"/>
  <c r="E34" i="18"/>
  <c r="D34" i="18"/>
  <c r="C34" i="18"/>
  <c r="B34" i="18"/>
  <c r="H33" i="18"/>
  <c r="G33" i="18"/>
  <c r="F33" i="18"/>
  <c r="E33" i="18"/>
  <c r="D33" i="18"/>
  <c r="C33" i="18"/>
  <c r="B33" i="18"/>
  <c r="H32" i="18"/>
  <c r="G32" i="18"/>
  <c r="F32" i="18"/>
  <c r="E32" i="18"/>
  <c r="D32" i="18"/>
  <c r="C32" i="18"/>
  <c r="B32" i="18"/>
  <c r="H31" i="18"/>
  <c r="G31" i="18"/>
  <c r="F31" i="18"/>
  <c r="E31" i="18"/>
  <c r="D31" i="18"/>
  <c r="C31" i="18"/>
  <c r="B31" i="18"/>
  <c r="C19" i="18"/>
  <c r="C20" i="18" s="1"/>
  <c r="H35" i="17"/>
  <c r="G35" i="17"/>
  <c r="F35" i="17"/>
  <c r="E35" i="17"/>
  <c r="D35" i="17"/>
  <c r="C35" i="17"/>
  <c r="B35" i="17"/>
  <c r="H34" i="17"/>
  <c r="G34" i="17"/>
  <c r="F34" i="17"/>
  <c r="E34" i="17"/>
  <c r="D34" i="17"/>
  <c r="C34" i="17"/>
  <c r="B34" i="17"/>
  <c r="H33" i="17"/>
  <c r="G33" i="17"/>
  <c r="F33" i="17"/>
  <c r="E33" i="17"/>
  <c r="D33" i="17"/>
  <c r="C33" i="17"/>
  <c r="B33" i="17"/>
  <c r="H32" i="17"/>
  <c r="G32" i="17"/>
  <c r="F32" i="17"/>
  <c r="E32" i="17"/>
  <c r="D32" i="17"/>
  <c r="C32" i="17"/>
  <c r="B32" i="17"/>
  <c r="H31" i="17"/>
  <c r="G31" i="17"/>
  <c r="F31" i="17"/>
  <c r="E31" i="17"/>
  <c r="D31" i="17"/>
  <c r="C31" i="17"/>
  <c r="B31" i="17"/>
  <c r="C19" i="17"/>
  <c r="C20" i="17" s="1"/>
  <c r="H35" i="16"/>
  <c r="G35" i="16"/>
  <c r="F35" i="16"/>
  <c r="E35" i="16"/>
  <c r="D35" i="16"/>
  <c r="C35" i="16"/>
  <c r="B35" i="16"/>
  <c r="H34" i="16"/>
  <c r="G34" i="16"/>
  <c r="F34" i="16"/>
  <c r="E34" i="16"/>
  <c r="D34" i="16"/>
  <c r="C34" i="16"/>
  <c r="B34" i="16"/>
  <c r="H33" i="16"/>
  <c r="G33" i="16"/>
  <c r="F33" i="16"/>
  <c r="E33" i="16"/>
  <c r="D33" i="16"/>
  <c r="C33" i="16"/>
  <c r="B33" i="16"/>
  <c r="H32" i="16"/>
  <c r="G32" i="16"/>
  <c r="F32" i="16"/>
  <c r="E32" i="16"/>
  <c r="D32" i="16"/>
  <c r="C32" i="16"/>
  <c r="B32" i="16"/>
  <c r="H31" i="16"/>
  <c r="G31" i="16"/>
  <c r="F31" i="16"/>
  <c r="E31" i="16"/>
  <c r="D31" i="16"/>
  <c r="C31" i="16"/>
  <c r="B31" i="16"/>
  <c r="C19" i="16"/>
  <c r="C20" i="16" s="1"/>
  <c r="H35" i="15"/>
  <c r="G35" i="15"/>
  <c r="F35" i="15"/>
  <c r="E35" i="15"/>
  <c r="D35" i="15"/>
  <c r="C35" i="15"/>
  <c r="B35" i="15"/>
  <c r="H34" i="15"/>
  <c r="G34" i="15"/>
  <c r="F34" i="15"/>
  <c r="E34" i="15"/>
  <c r="D34" i="15"/>
  <c r="C34" i="15"/>
  <c r="B34" i="15"/>
  <c r="H33" i="15"/>
  <c r="G33" i="15"/>
  <c r="F33" i="15"/>
  <c r="E33" i="15"/>
  <c r="D33" i="15"/>
  <c r="C33" i="15"/>
  <c r="B33" i="15"/>
  <c r="H32" i="15"/>
  <c r="G32" i="15"/>
  <c r="F32" i="15"/>
  <c r="E32" i="15"/>
  <c r="D32" i="15"/>
  <c r="C32" i="15"/>
  <c r="B32" i="15"/>
  <c r="H31" i="15"/>
  <c r="G31" i="15"/>
  <c r="F31" i="15"/>
  <c r="E31" i="15"/>
  <c r="D31" i="15"/>
  <c r="C31" i="15"/>
  <c r="B31" i="15"/>
  <c r="C19" i="15"/>
  <c r="C20" i="15" s="1"/>
  <c r="H35" i="14"/>
  <c r="G35" i="14"/>
  <c r="F35" i="14"/>
  <c r="E35" i="14"/>
  <c r="D35" i="14"/>
  <c r="C35" i="14"/>
  <c r="B35" i="14"/>
  <c r="H34" i="14"/>
  <c r="G34" i="14"/>
  <c r="F34" i="14"/>
  <c r="E34" i="14"/>
  <c r="D34" i="14"/>
  <c r="C34" i="14"/>
  <c r="B34" i="14"/>
  <c r="H33" i="14"/>
  <c r="G33" i="14"/>
  <c r="F33" i="14"/>
  <c r="E33" i="14"/>
  <c r="D33" i="14"/>
  <c r="C33" i="14"/>
  <c r="B33" i="14"/>
  <c r="H32" i="14"/>
  <c r="G32" i="14"/>
  <c r="F32" i="14"/>
  <c r="E32" i="14"/>
  <c r="D32" i="14"/>
  <c r="C32" i="14"/>
  <c r="B32" i="14"/>
  <c r="H31" i="14"/>
  <c r="G31" i="14"/>
  <c r="F31" i="14"/>
  <c r="E31" i="14"/>
  <c r="D31" i="14"/>
  <c r="C31" i="14"/>
  <c r="B31" i="14"/>
  <c r="C19" i="14"/>
  <c r="C20" i="14" s="1"/>
  <c r="H35" i="13"/>
  <c r="G35" i="13"/>
  <c r="F35" i="13"/>
  <c r="E35" i="13"/>
  <c r="D35" i="13"/>
  <c r="C35" i="13"/>
  <c r="B35" i="13"/>
  <c r="H34" i="13"/>
  <c r="G34" i="13"/>
  <c r="F34" i="13"/>
  <c r="E34" i="13"/>
  <c r="D34" i="13"/>
  <c r="C34" i="13"/>
  <c r="B34" i="13"/>
  <c r="H33" i="13"/>
  <c r="G33" i="13"/>
  <c r="F33" i="13"/>
  <c r="E33" i="13"/>
  <c r="D33" i="13"/>
  <c r="C33" i="13"/>
  <c r="B33" i="13"/>
  <c r="H32" i="13"/>
  <c r="G32" i="13"/>
  <c r="F32" i="13"/>
  <c r="E32" i="13"/>
  <c r="D32" i="13"/>
  <c r="C32" i="13"/>
  <c r="B32" i="13"/>
  <c r="H31" i="13"/>
  <c r="G31" i="13"/>
  <c r="F31" i="13"/>
  <c r="E31" i="13"/>
  <c r="D31" i="13"/>
  <c r="C31" i="13"/>
  <c r="B31" i="13"/>
  <c r="C19" i="13"/>
  <c r="C20" i="13" s="1"/>
  <c r="H35" i="12"/>
  <c r="G35" i="12"/>
  <c r="F35" i="12"/>
  <c r="E35" i="12"/>
  <c r="D35" i="12"/>
  <c r="C35" i="12"/>
  <c r="B35" i="12"/>
  <c r="H34" i="12"/>
  <c r="G34" i="12"/>
  <c r="F34" i="12"/>
  <c r="E34" i="12"/>
  <c r="D34" i="12"/>
  <c r="C34" i="12"/>
  <c r="B34" i="12"/>
  <c r="H33" i="12"/>
  <c r="G33" i="12"/>
  <c r="F33" i="12"/>
  <c r="E33" i="12"/>
  <c r="D33" i="12"/>
  <c r="C33" i="12"/>
  <c r="B33" i="12"/>
  <c r="H32" i="12"/>
  <c r="G32" i="12"/>
  <c r="F32" i="12"/>
  <c r="E32" i="12"/>
  <c r="D32" i="12"/>
  <c r="C32" i="12"/>
  <c r="B32" i="12"/>
  <c r="H31" i="12"/>
  <c r="G31" i="12"/>
  <c r="F31" i="12"/>
  <c r="E31" i="12"/>
  <c r="D31" i="12"/>
  <c r="C31" i="12"/>
  <c r="B31" i="12"/>
  <c r="C19" i="12"/>
  <c r="C20" i="12" s="1"/>
  <c r="H35" i="11"/>
  <c r="G35" i="11"/>
  <c r="F35" i="11"/>
  <c r="E35" i="11"/>
  <c r="D35" i="11"/>
  <c r="C35" i="11"/>
  <c r="B35" i="11"/>
  <c r="H34" i="11"/>
  <c r="G34" i="11"/>
  <c r="F34" i="11"/>
  <c r="E34" i="11"/>
  <c r="D34" i="11"/>
  <c r="C34" i="11"/>
  <c r="B34" i="11"/>
  <c r="H33" i="11"/>
  <c r="G33" i="11"/>
  <c r="F33" i="11"/>
  <c r="E33" i="11"/>
  <c r="D33" i="11"/>
  <c r="C33" i="11"/>
  <c r="B33" i="11"/>
  <c r="H32" i="11"/>
  <c r="G32" i="11"/>
  <c r="F32" i="11"/>
  <c r="E32" i="11"/>
  <c r="D32" i="11"/>
  <c r="C32" i="11"/>
  <c r="B32" i="11"/>
  <c r="H31" i="11"/>
  <c r="G31" i="11"/>
  <c r="F31" i="11"/>
  <c r="E31" i="11"/>
  <c r="D31" i="11"/>
  <c r="C31" i="11"/>
  <c r="B31" i="11"/>
  <c r="C19" i="11"/>
  <c r="C20" i="11" s="1"/>
  <c r="H35" i="10"/>
  <c r="G35" i="10"/>
  <c r="F35" i="10"/>
  <c r="E35" i="10"/>
  <c r="D35" i="10"/>
  <c r="C35" i="10"/>
  <c r="B35" i="10"/>
  <c r="H34" i="10"/>
  <c r="G34" i="10"/>
  <c r="F34" i="10"/>
  <c r="E34" i="10"/>
  <c r="D34" i="10"/>
  <c r="C34" i="10"/>
  <c r="B34" i="10"/>
  <c r="H33" i="10"/>
  <c r="G33" i="10"/>
  <c r="F33" i="10"/>
  <c r="E33" i="10"/>
  <c r="D33" i="10"/>
  <c r="C33" i="10"/>
  <c r="B33" i="10"/>
  <c r="H32" i="10"/>
  <c r="G32" i="10"/>
  <c r="F32" i="10"/>
  <c r="E32" i="10"/>
  <c r="D32" i="10"/>
  <c r="C32" i="10"/>
  <c r="B32" i="10"/>
  <c r="H31" i="10"/>
  <c r="G31" i="10"/>
  <c r="F31" i="10"/>
  <c r="E31" i="10"/>
  <c r="D31" i="10"/>
  <c r="C31" i="10"/>
  <c r="B31" i="10"/>
  <c r="C19" i="10"/>
  <c r="C20" i="10" s="1"/>
  <c r="H35" i="9"/>
  <c r="G35" i="9"/>
  <c r="F35" i="9"/>
  <c r="E35" i="9"/>
  <c r="D35" i="9"/>
  <c r="C35" i="9"/>
  <c r="B35" i="9"/>
  <c r="H34" i="9"/>
  <c r="G34" i="9"/>
  <c r="F34" i="9"/>
  <c r="E34" i="9"/>
  <c r="D34" i="9"/>
  <c r="C34" i="9"/>
  <c r="B34" i="9"/>
  <c r="H33" i="9"/>
  <c r="G33" i="9"/>
  <c r="F33" i="9"/>
  <c r="E33" i="9"/>
  <c r="D33" i="9"/>
  <c r="C33" i="9"/>
  <c r="B33" i="9"/>
  <c r="H32" i="9"/>
  <c r="G32" i="9"/>
  <c r="F32" i="9"/>
  <c r="E32" i="9"/>
  <c r="D32" i="9"/>
  <c r="C32" i="9"/>
  <c r="B32" i="9"/>
  <c r="H31" i="9"/>
  <c r="G31" i="9"/>
  <c r="F31" i="9"/>
  <c r="E31" i="9"/>
  <c r="D31" i="9"/>
  <c r="C31" i="9"/>
  <c r="B31" i="9"/>
  <c r="C19" i="9"/>
  <c r="C20" i="9" s="1"/>
  <c r="H35" i="8"/>
  <c r="G35" i="8"/>
  <c r="F35" i="8"/>
  <c r="E35" i="8"/>
  <c r="D35" i="8"/>
  <c r="C35" i="8"/>
  <c r="B35" i="8"/>
  <c r="H34" i="8"/>
  <c r="G34" i="8"/>
  <c r="F34" i="8"/>
  <c r="E34" i="8"/>
  <c r="D34" i="8"/>
  <c r="C34" i="8"/>
  <c r="B34" i="8"/>
  <c r="H33" i="8"/>
  <c r="G33" i="8"/>
  <c r="F33" i="8"/>
  <c r="E33" i="8"/>
  <c r="D33" i="8"/>
  <c r="C33" i="8"/>
  <c r="B33" i="8"/>
  <c r="H32" i="8"/>
  <c r="G32" i="8"/>
  <c r="F32" i="8"/>
  <c r="E32" i="8"/>
  <c r="D32" i="8"/>
  <c r="C32" i="8"/>
  <c r="B32" i="8"/>
  <c r="H31" i="8"/>
  <c r="G31" i="8"/>
  <c r="F31" i="8"/>
  <c r="E31" i="8"/>
  <c r="D31" i="8"/>
  <c r="C31" i="8"/>
  <c r="B31" i="8"/>
  <c r="C19" i="8"/>
  <c r="G19" i="8" s="1"/>
  <c r="C40" i="8" s="1"/>
  <c r="H35" i="7"/>
  <c r="G35" i="7"/>
  <c r="F35" i="7"/>
  <c r="E35" i="7"/>
  <c r="D35" i="7"/>
  <c r="C35" i="7"/>
  <c r="B35" i="7"/>
  <c r="H34" i="7"/>
  <c r="G34" i="7"/>
  <c r="F34" i="7"/>
  <c r="E34" i="7"/>
  <c r="D34" i="7"/>
  <c r="C34" i="7"/>
  <c r="B34" i="7"/>
  <c r="H33" i="7"/>
  <c r="G33" i="7"/>
  <c r="F33" i="7"/>
  <c r="E33" i="7"/>
  <c r="D33" i="7"/>
  <c r="C33" i="7"/>
  <c r="B33" i="7"/>
  <c r="H32" i="7"/>
  <c r="G32" i="7"/>
  <c r="F32" i="7"/>
  <c r="E32" i="7"/>
  <c r="D32" i="7"/>
  <c r="C32" i="7"/>
  <c r="B32" i="7"/>
  <c r="H31" i="7"/>
  <c r="G31" i="7"/>
  <c r="F31" i="7"/>
  <c r="E31" i="7"/>
  <c r="D31" i="7"/>
  <c r="C31" i="7"/>
  <c r="B31" i="7"/>
  <c r="C19" i="7"/>
  <c r="C20" i="7" s="1"/>
  <c r="H35" i="6"/>
  <c r="G35" i="6"/>
  <c r="F35" i="6"/>
  <c r="E35" i="6"/>
  <c r="D35" i="6"/>
  <c r="C35" i="6"/>
  <c r="B35" i="6"/>
  <c r="H34" i="6"/>
  <c r="G34" i="6"/>
  <c r="F34" i="6"/>
  <c r="E34" i="6"/>
  <c r="D34" i="6"/>
  <c r="C34" i="6"/>
  <c r="B34" i="6"/>
  <c r="H33" i="6"/>
  <c r="G33" i="6"/>
  <c r="F33" i="6"/>
  <c r="E33" i="6"/>
  <c r="D33" i="6"/>
  <c r="C33" i="6"/>
  <c r="B33" i="6"/>
  <c r="H32" i="6"/>
  <c r="G32" i="6"/>
  <c r="F32" i="6"/>
  <c r="E32" i="6"/>
  <c r="D32" i="6"/>
  <c r="C32" i="6"/>
  <c r="B32" i="6"/>
  <c r="H31" i="6"/>
  <c r="G31" i="6"/>
  <c r="F31" i="6"/>
  <c r="E31" i="6"/>
  <c r="D31" i="6"/>
  <c r="C31" i="6"/>
  <c r="B31" i="6"/>
  <c r="C19" i="6"/>
  <c r="C20" i="6" s="1"/>
  <c r="H35" i="26"/>
  <c r="G35" i="26"/>
  <c r="F35" i="26"/>
  <c r="E35" i="26"/>
  <c r="D35" i="26"/>
  <c r="C35" i="26"/>
  <c r="B35" i="26"/>
  <c r="H34" i="26"/>
  <c r="G34" i="26"/>
  <c r="F34" i="26"/>
  <c r="E34" i="26"/>
  <c r="D34" i="26"/>
  <c r="C34" i="26"/>
  <c r="B34" i="26"/>
  <c r="H33" i="26"/>
  <c r="G33" i="26"/>
  <c r="F33" i="26"/>
  <c r="E33" i="26"/>
  <c r="D33" i="26"/>
  <c r="C33" i="26"/>
  <c r="B33" i="26"/>
  <c r="H32" i="26"/>
  <c r="G32" i="26"/>
  <c r="F32" i="26"/>
  <c r="E32" i="26"/>
  <c r="D32" i="26"/>
  <c r="C32" i="26"/>
  <c r="B32" i="26"/>
  <c r="H31" i="26"/>
  <c r="G31" i="26"/>
  <c r="F31" i="26"/>
  <c r="E31" i="26"/>
  <c r="D31" i="26"/>
  <c r="C31" i="26"/>
  <c r="B31" i="26"/>
  <c r="C19" i="26"/>
  <c r="G19" i="26" s="1"/>
  <c r="C40" i="26" s="1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C19" i="4"/>
  <c r="G19" i="4" s="1"/>
  <c r="C40" i="4" s="1"/>
  <c r="H35" i="25"/>
  <c r="G35" i="25"/>
  <c r="F35" i="25"/>
  <c r="E35" i="25"/>
  <c r="D35" i="25"/>
  <c r="C35" i="25"/>
  <c r="B35" i="25"/>
  <c r="H34" i="25"/>
  <c r="G34" i="25"/>
  <c r="F34" i="25"/>
  <c r="E34" i="25"/>
  <c r="D34" i="25"/>
  <c r="C34" i="25"/>
  <c r="B34" i="25"/>
  <c r="H33" i="25"/>
  <c r="G33" i="25"/>
  <c r="F33" i="25"/>
  <c r="E33" i="25"/>
  <c r="D33" i="25"/>
  <c r="C33" i="25"/>
  <c r="B33" i="25"/>
  <c r="H32" i="25"/>
  <c r="G32" i="25"/>
  <c r="F32" i="25"/>
  <c r="E32" i="25"/>
  <c r="D32" i="25"/>
  <c r="C32" i="25"/>
  <c r="B32" i="25"/>
  <c r="H31" i="25"/>
  <c r="G31" i="25"/>
  <c r="F31" i="25"/>
  <c r="E31" i="25"/>
  <c r="D31" i="25"/>
  <c r="C31" i="25"/>
  <c r="B31" i="25"/>
  <c r="C19" i="25"/>
  <c r="C20" i="25" s="1"/>
  <c r="H35" i="24"/>
  <c r="G35" i="24"/>
  <c r="F35" i="24"/>
  <c r="E35" i="24"/>
  <c r="D35" i="24"/>
  <c r="C35" i="24"/>
  <c r="B35" i="24"/>
  <c r="H34" i="24"/>
  <c r="G34" i="24"/>
  <c r="F34" i="24"/>
  <c r="E34" i="24"/>
  <c r="D34" i="24"/>
  <c r="C34" i="24"/>
  <c r="B34" i="24"/>
  <c r="H33" i="24"/>
  <c r="G33" i="24"/>
  <c r="F33" i="24"/>
  <c r="E33" i="24"/>
  <c r="D33" i="24"/>
  <c r="C33" i="24"/>
  <c r="B33" i="24"/>
  <c r="H32" i="24"/>
  <c r="G32" i="24"/>
  <c r="F32" i="24"/>
  <c r="E32" i="24"/>
  <c r="D32" i="24"/>
  <c r="C32" i="24"/>
  <c r="B32" i="24"/>
  <c r="H31" i="24"/>
  <c r="G31" i="24"/>
  <c r="F31" i="24"/>
  <c r="E31" i="24"/>
  <c r="D31" i="24"/>
  <c r="C31" i="24"/>
  <c r="B31" i="24"/>
  <c r="C19" i="24"/>
  <c r="G19" i="24" s="1"/>
  <c r="C40" i="24" s="1"/>
  <c r="H35" i="23"/>
  <c r="G35" i="23"/>
  <c r="F35" i="23"/>
  <c r="E35" i="23"/>
  <c r="D35" i="23"/>
  <c r="C35" i="23"/>
  <c r="B35" i="23"/>
  <c r="H34" i="23"/>
  <c r="G34" i="23"/>
  <c r="F34" i="23"/>
  <c r="E34" i="23"/>
  <c r="D34" i="23"/>
  <c r="C34" i="23"/>
  <c r="B34" i="23"/>
  <c r="H33" i="23"/>
  <c r="G33" i="23"/>
  <c r="F33" i="23"/>
  <c r="E33" i="23"/>
  <c r="D33" i="23"/>
  <c r="C33" i="23"/>
  <c r="B33" i="23"/>
  <c r="H32" i="23"/>
  <c r="G32" i="23"/>
  <c r="F32" i="23"/>
  <c r="E32" i="23"/>
  <c r="D32" i="23"/>
  <c r="C32" i="23"/>
  <c r="B32" i="23"/>
  <c r="H31" i="23"/>
  <c r="G31" i="23"/>
  <c r="F31" i="23"/>
  <c r="E31" i="23"/>
  <c r="D31" i="23"/>
  <c r="C31" i="23"/>
  <c r="B31" i="23"/>
  <c r="C19" i="23"/>
  <c r="G19" i="23" s="1"/>
  <c r="C40" i="23" s="1"/>
  <c r="C11" i="23"/>
  <c r="H30" i="33" l="1"/>
  <c r="L39" i="34"/>
  <c r="J35" i="34"/>
  <c r="K33" i="34"/>
  <c r="K35" i="34"/>
  <c r="K37" i="34"/>
  <c r="K27" i="34"/>
  <c r="L21" i="34"/>
  <c r="L23" i="34"/>
  <c r="L25" i="34"/>
  <c r="L27" i="34"/>
  <c r="J33" i="34"/>
  <c r="J39" i="34"/>
  <c r="I26" i="34"/>
  <c r="J26" i="34"/>
  <c r="K22" i="34"/>
  <c r="K24" i="34"/>
  <c r="K26" i="34"/>
  <c r="J37" i="34"/>
  <c r="I24" i="34"/>
  <c r="J24" i="34"/>
  <c r="L22" i="34"/>
  <c r="L24" i="34"/>
  <c r="L26" i="34"/>
  <c r="I22" i="34"/>
  <c r="C20" i="26"/>
  <c r="C21" i="26" s="1"/>
  <c r="J22" i="34"/>
  <c r="I21" i="34"/>
  <c r="I23" i="34"/>
  <c r="I25" i="34"/>
  <c r="I39" i="34"/>
  <c r="H41" i="33"/>
  <c r="C21" i="22"/>
  <c r="G20" i="22"/>
  <c r="C41" i="22" s="1"/>
  <c r="G19" i="22"/>
  <c r="C40" i="22" s="1"/>
  <c r="C20" i="20"/>
  <c r="G20" i="19"/>
  <c r="C41" i="19" s="1"/>
  <c r="C21" i="19"/>
  <c r="G19" i="19"/>
  <c r="C40" i="19" s="1"/>
  <c r="G20" i="18"/>
  <c r="C41" i="18" s="1"/>
  <c r="C21" i="18"/>
  <c r="G19" i="18"/>
  <c r="C40" i="18" s="1"/>
  <c r="C21" i="17"/>
  <c r="G20" i="17"/>
  <c r="C41" i="17" s="1"/>
  <c r="G19" i="17"/>
  <c r="C40" i="17" s="1"/>
  <c r="G20" i="16"/>
  <c r="C41" i="16" s="1"/>
  <c r="C21" i="16"/>
  <c r="G19" i="16"/>
  <c r="C40" i="16" s="1"/>
  <c r="G20" i="15"/>
  <c r="C41" i="15" s="1"/>
  <c r="C21" i="15"/>
  <c r="G19" i="15"/>
  <c r="C40" i="15" s="1"/>
  <c r="G20" i="14"/>
  <c r="C41" i="14" s="1"/>
  <c r="C21" i="14"/>
  <c r="G19" i="14"/>
  <c r="C40" i="14" s="1"/>
  <c r="C21" i="13"/>
  <c r="G20" i="13"/>
  <c r="C41" i="13" s="1"/>
  <c r="G19" i="13"/>
  <c r="C40" i="13" s="1"/>
  <c r="C21" i="12"/>
  <c r="G20" i="12"/>
  <c r="C41" i="12" s="1"/>
  <c r="G19" i="12"/>
  <c r="C40" i="12" s="1"/>
  <c r="G20" i="11"/>
  <c r="C41" i="11" s="1"/>
  <c r="C21" i="11"/>
  <c r="G19" i="11"/>
  <c r="C40" i="11" s="1"/>
  <c r="C21" i="10"/>
  <c r="G20" i="10"/>
  <c r="C41" i="10" s="1"/>
  <c r="G19" i="10"/>
  <c r="C40" i="10" s="1"/>
  <c r="C21" i="9"/>
  <c r="G20" i="9"/>
  <c r="C41" i="9" s="1"/>
  <c r="G19" i="9"/>
  <c r="C40" i="9" s="1"/>
  <c r="C20" i="8"/>
  <c r="G20" i="7"/>
  <c r="C41" i="7" s="1"/>
  <c r="C21" i="7"/>
  <c r="G19" i="7"/>
  <c r="C40" i="7" s="1"/>
  <c r="G20" i="6"/>
  <c r="C41" i="6" s="1"/>
  <c r="C21" i="6"/>
  <c r="G19" i="6"/>
  <c r="C40" i="6" s="1"/>
  <c r="C22" i="26"/>
  <c r="G21" i="26"/>
  <c r="C42" i="26" s="1"/>
  <c r="G20" i="26"/>
  <c r="C41" i="26" s="1"/>
  <c r="C20" i="4"/>
  <c r="G20" i="25"/>
  <c r="C41" i="25" s="1"/>
  <c r="C21" i="25"/>
  <c r="G19" i="25"/>
  <c r="C40" i="25" s="1"/>
  <c r="C20" i="24"/>
  <c r="G20" i="24" s="1"/>
  <c r="C41" i="24" s="1"/>
  <c r="H28" i="33"/>
  <c r="H39" i="33"/>
  <c r="K25" i="34"/>
  <c r="J27" i="34"/>
  <c r="K23" i="34"/>
  <c r="L37" i="34"/>
  <c r="I34" i="34"/>
  <c r="I36" i="34"/>
  <c r="K21" i="34"/>
  <c r="J21" i="34"/>
  <c r="J23" i="34"/>
  <c r="J25" i="34"/>
  <c r="I27" i="34"/>
  <c r="L33" i="34"/>
  <c r="L35" i="34"/>
  <c r="K39" i="34"/>
  <c r="J34" i="34"/>
  <c r="J36" i="34"/>
  <c r="I38" i="34"/>
  <c r="K34" i="34"/>
  <c r="K36" i="34"/>
  <c r="J38" i="34"/>
  <c r="L34" i="34"/>
  <c r="L36" i="34"/>
  <c r="K38" i="34"/>
  <c r="I33" i="34"/>
  <c r="I35" i="34"/>
  <c r="L38" i="34"/>
  <c r="I37" i="34"/>
  <c r="C20" i="23"/>
  <c r="C21" i="23" s="1"/>
  <c r="G21" i="23" s="1"/>
  <c r="C42" i="23" s="1"/>
  <c r="G24" i="50"/>
  <c r="C25" i="50"/>
  <c r="G25" i="50" s="1"/>
  <c r="C44" i="50"/>
  <c r="C21" i="21"/>
  <c r="G20" i="21"/>
  <c r="C41" i="21" s="1"/>
  <c r="G19" i="21"/>
  <c r="C40" i="21" s="1"/>
  <c r="H31" i="33"/>
  <c r="H42" i="33"/>
  <c r="H26" i="33"/>
  <c r="H37" i="33"/>
  <c r="H43" i="33"/>
  <c r="H29" i="33"/>
  <c r="H38" i="33"/>
  <c r="H27" i="33"/>
  <c r="G21" i="22" l="1"/>
  <c r="C42" i="22" s="1"/>
  <c r="C22" i="22"/>
  <c r="C21" i="20"/>
  <c r="G20" i="20"/>
  <c r="C41" i="20" s="1"/>
  <c r="C22" i="19"/>
  <c r="G21" i="19"/>
  <c r="C42" i="19" s="1"/>
  <c r="C22" i="18"/>
  <c r="G21" i="18"/>
  <c r="C42" i="18" s="1"/>
  <c r="G21" i="17"/>
  <c r="C42" i="17" s="1"/>
  <c r="C22" i="17"/>
  <c r="C22" i="16"/>
  <c r="G21" i="16"/>
  <c r="C42" i="16" s="1"/>
  <c r="C22" i="15"/>
  <c r="G21" i="15"/>
  <c r="C42" i="15" s="1"/>
  <c r="C22" i="14"/>
  <c r="G21" i="14"/>
  <c r="C42" i="14" s="1"/>
  <c r="G21" i="13"/>
  <c r="C42" i="13" s="1"/>
  <c r="C22" i="13"/>
  <c r="C22" i="12"/>
  <c r="G21" i="12"/>
  <c r="C42" i="12" s="1"/>
  <c r="C22" i="11"/>
  <c r="G21" i="11"/>
  <c r="C42" i="11" s="1"/>
  <c r="C22" i="10"/>
  <c r="G21" i="10"/>
  <c r="C42" i="10" s="1"/>
  <c r="G21" i="9"/>
  <c r="C42" i="9" s="1"/>
  <c r="C22" i="9"/>
  <c r="C21" i="8"/>
  <c r="G20" i="8"/>
  <c r="C41" i="8" s="1"/>
  <c r="C22" i="7"/>
  <c r="G21" i="7"/>
  <c r="C42" i="7" s="1"/>
  <c r="C22" i="6"/>
  <c r="G21" i="6"/>
  <c r="C42" i="6" s="1"/>
  <c r="C23" i="26"/>
  <c r="G22" i="26"/>
  <c r="C43" i="26" s="1"/>
  <c r="G20" i="4"/>
  <c r="C41" i="4" s="1"/>
  <c r="C21" i="4"/>
  <c r="C22" i="25"/>
  <c r="G21" i="25"/>
  <c r="C42" i="25" s="1"/>
  <c r="C21" i="24"/>
  <c r="G21" i="24" s="1"/>
  <c r="C42" i="24" s="1"/>
  <c r="C22" i="23"/>
  <c r="G22" i="23" s="1"/>
  <c r="C43" i="23" s="1"/>
  <c r="G20" i="23"/>
  <c r="C41" i="23" s="1"/>
  <c r="H35" i="31"/>
  <c r="C46" i="50"/>
  <c r="C45" i="50"/>
  <c r="C22" i="21"/>
  <c r="G21" i="21"/>
  <c r="C42" i="21" s="1"/>
  <c r="C22" i="24" l="1"/>
  <c r="C23" i="24" s="1"/>
  <c r="C23" i="22"/>
  <c r="G22" i="22"/>
  <c r="C43" i="22" s="1"/>
  <c r="C22" i="20"/>
  <c r="G21" i="20"/>
  <c r="C42" i="20" s="1"/>
  <c r="C23" i="19"/>
  <c r="G22" i="19"/>
  <c r="C43" i="19" s="1"/>
  <c r="C23" i="18"/>
  <c r="G22" i="18"/>
  <c r="C43" i="18" s="1"/>
  <c r="G22" i="17"/>
  <c r="C43" i="17" s="1"/>
  <c r="C23" i="17"/>
  <c r="C23" i="16"/>
  <c r="G22" i="16"/>
  <c r="C43" i="16" s="1"/>
  <c r="C23" i="15"/>
  <c r="G22" i="15"/>
  <c r="C43" i="15" s="1"/>
  <c r="C23" i="14"/>
  <c r="G22" i="14"/>
  <c r="C43" i="14" s="1"/>
  <c r="C23" i="13"/>
  <c r="G22" i="13"/>
  <c r="C43" i="13" s="1"/>
  <c r="G22" i="12"/>
  <c r="C43" i="12" s="1"/>
  <c r="C23" i="12"/>
  <c r="G22" i="11"/>
  <c r="C43" i="11" s="1"/>
  <c r="C23" i="11"/>
  <c r="C23" i="10"/>
  <c r="G22" i="10"/>
  <c r="C43" i="10" s="1"/>
  <c r="C23" i="9"/>
  <c r="G22" i="9"/>
  <c r="C43" i="9" s="1"/>
  <c r="C22" i="8"/>
  <c r="G21" i="8"/>
  <c r="C42" i="8" s="1"/>
  <c r="C23" i="7"/>
  <c r="G22" i="7"/>
  <c r="C43" i="7" s="1"/>
  <c r="C23" i="6"/>
  <c r="G22" i="6"/>
  <c r="C43" i="6" s="1"/>
  <c r="C24" i="26"/>
  <c r="G23" i="26"/>
  <c r="C44" i="26" s="1"/>
  <c r="C22" i="4"/>
  <c r="G21" i="4"/>
  <c r="C42" i="4" s="1"/>
  <c r="C23" i="25"/>
  <c r="G22" i="25"/>
  <c r="C43" i="25" s="1"/>
  <c r="G22" i="24"/>
  <c r="C43" i="24" s="1"/>
  <c r="C23" i="23"/>
  <c r="C24" i="23" s="1"/>
  <c r="G23" i="23"/>
  <c r="C44" i="23" s="1"/>
  <c r="C23" i="21"/>
  <c r="G22" i="21"/>
  <c r="C43" i="21" s="1"/>
  <c r="C24" i="22" l="1"/>
  <c r="G23" i="22"/>
  <c r="C44" i="22" s="1"/>
  <c r="C23" i="20"/>
  <c r="G22" i="20"/>
  <c r="C43" i="20" s="1"/>
  <c r="C24" i="19"/>
  <c r="G23" i="19"/>
  <c r="C44" i="19" s="1"/>
  <c r="C24" i="18"/>
  <c r="G23" i="18"/>
  <c r="C44" i="18" s="1"/>
  <c r="C24" i="17"/>
  <c r="G23" i="17"/>
  <c r="C44" i="17" s="1"/>
  <c r="C24" i="16"/>
  <c r="G23" i="16"/>
  <c r="C44" i="16" s="1"/>
  <c r="C24" i="15"/>
  <c r="G23" i="15"/>
  <c r="C44" i="15" s="1"/>
  <c r="C24" i="14"/>
  <c r="G23" i="14"/>
  <c r="C44" i="14" s="1"/>
  <c r="C24" i="13"/>
  <c r="G23" i="13"/>
  <c r="C44" i="13" s="1"/>
  <c r="C24" i="12"/>
  <c r="G23" i="12"/>
  <c r="C44" i="12" s="1"/>
  <c r="C24" i="11"/>
  <c r="G23" i="11"/>
  <c r="C44" i="11" s="1"/>
  <c r="C24" i="10"/>
  <c r="G23" i="10"/>
  <c r="C44" i="10" s="1"/>
  <c r="C24" i="9"/>
  <c r="G23" i="9"/>
  <c r="C44" i="9" s="1"/>
  <c r="C23" i="8"/>
  <c r="G22" i="8"/>
  <c r="C43" i="8" s="1"/>
  <c r="C24" i="7"/>
  <c r="G23" i="7"/>
  <c r="C44" i="7" s="1"/>
  <c r="C24" i="6"/>
  <c r="G23" i="6"/>
  <c r="C44" i="6" s="1"/>
  <c r="G24" i="26"/>
  <c r="C45" i="26" s="1"/>
  <c r="C25" i="26"/>
  <c r="G25" i="26" s="1"/>
  <c r="C46" i="26" s="1"/>
  <c r="C23" i="4"/>
  <c r="G22" i="4"/>
  <c r="C43" i="4" s="1"/>
  <c r="C24" i="25"/>
  <c r="G23" i="25"/>
  <c r="C44" i="25" s="1"/>
  <c r="G23" i="24"/>
  <c r="C44" i="24" s="1"/>
  <c r="C24" i="24"/>
  <c r="C25" i="23"/>
  <c r="G25" i="23" s="1"/>
  <c r="C46" i="23" s="1"/>
  <c r="G24" i="23"/>
  <c r="C45" i="23" s="1"/>
  <c r="C24" i="21"/>
  <c r="G23" i="21"/>
  <c r="C44" i="21" s="1"/>
  <c r="C25" i="22" l="1"/>
  <c r="G25" i="22" s="1"/>
  <c r="C46" i="22" s="1"/>
  <c r="G24" i="22"/>
  <c r="C45" i="22" s="1"/>
  <c r="G23" i="20"/>
  <c r="C44" i="20" s="1"/>
  <c r="C24" i="20"/>
  <c r="G24" i="19"/>
  <c r="C45" i="19" s="1"/>
  <c r="C25" i="19"/>
  <c r="G25" i="19" s="1"/>
  <c r="C46" i="19" s="1"/>
  <c r="G24" i="18"/>
  <c r="C45" i="18" s="1"/>
  <c r="C25" i="18"/>
  <c r="G25" i="18" s="1"/>
  <c r="C46" i="18" s="1"/>
  <c r="G24" i="17"/>
  <c r="C45" i="17" s="1"/>
  <c r="C25" i="17"/>
  <c r="G25" i="17" s="1"/>
  <c r="C46" i="17" s="1"/>
  <c r="G24" i="16"/>
  <c r="C45" i="16" s="1"/>
  <c r="C25" i="16"/>
  <c r="G25" i="16" s="1"/>
  <c r="C46" i="16" s="1"/>
  <c r="G24" i="15"/>
  <c r="C45" i="15" s="1"/>
  <c r="C25" i="15"/>
  <c r="G25" i="15" s="1"/>
  <c r="C46" i="15" s="1"/>
  <c r="C25" i="14"/>
  <c r="G25" i="14" s="1"/>
  <c r="C46" i="14" s="1"/>
  <c r="G24" i="14"/>
  <c r="C45" i="14" s="1"/>
  <c r="C25" i="13"/>
  <c r="G25" i="13" s="1"/>
  <c r="C46" i="13" s="1"/>
  <c r="G24" i="13"/>
  <c r="C45" i="13" s="1"/>
  <c r="C25" i="12"/>
  <c r="G25" i="12" s="1"/>
  <c r="C46" i="12" s="1"/>
  <c r="G24" i="12"/>
  <c r="C45" i="12" s="1"/>
  <c r="G24" i="11"/>
  <c r="C45" i="11" s="1"/>
  <c r="C25" i="11"/>
  <c r="G25" i="11" s="1"/>
  <c r="C46" i="11" s="1"/>
  <c r="C25" i="10"/>
  <c r="G25" i="10" s="1"/>
  <c r="C46" i="10" s="1"/>
  <c r="G24" i="10"/>
  <c r="C45" i="10" s="1"/>
  <c r="C25" i="9"/>
  <c r="G25" i="9" s="1"/>
  <c r="C46" i="9" s="1"/>
  <c r="G24" i="9"/>
  <c r="C45" i="9" s="1"/>
  <c r="C24" i="8"/>
  <c r="G23" i="8"/>
  <c r="C44" i="8" s="1"/>
  <c r="G24" i="7"/>
  <c r="C45" i="7" s="1"/>
  <c r="C25" i="7"/>
  <c r="G25" i="7" s="1"/>
  <c r="C46" i="7" s="1"/>
  <c r="G24" i="6"/>
  <c r="C45" i="6" s="1"/>
  <c r="C25" i="6"/>
  <c r="G25" i="6" s="1"/>
  <c r="C46" i="6" s="1"/>
  <c r="G23" i="4"/>
  <c r="C44" i="4" s="1"/>
  <c r="C24" i="4"/>
  <c r="G24" i="25"/>
  <c r="C45" i="25" s="1"/>
  <c r="C25" i="25"/>
  <c r="G25" i="25" s="1"/>
  <c r="C46" i="25" s="1"/>
  <c r="C25" i="24"/>
  <c r="G25" i="24" s="1"/>
  <c r="C46" i="24" s="1"/>
  <c r="G24" i="24"/>
  <c r="C45" i="24" s="1"/>
  <c r="C25" i="21"/>
  <c r="G25" i="21" s="1"/>
  <c r="C46" i="21" s="1"/>
  <c r="G24" i="21"/>
  <c r="C45" i="21" s="1"/>
  <c r="C25" i="20" l="1"/>
  <c r="G25" i="20" s="1"/>
  <c r="C46" i="20" s="1"/>
  <c r="G24" i="20"/>
  <c r="C45" i="20" s="1"/>
  <c r="C25" i="8"/>
  <c r="G25" i="8" s="1"/>
  <c r="C46" i="8" s="1"/>
  <c r="G24" i="8"/>
  <c r="C45" i="8" s="1"/>
  <c r="C25" i="4"/>
  <c r="G25" i="4" s="1"/>
  <c r="C46" i="4" s="1"/>
  <c r="G24" i="4"/>
  <c r="C45" i="4" s="1"/>
</calcChain>
</file>

<file path=xl/sharedStrings.xml><?xml version="1.0" encoding="utf-8"?>
<sst xmlns="http://schemas.openxmlformats.org/spreadsheetml/2006/main" count="2731" uniqueCount="701">
  <si>
    <t>Project No.</t>
  </si>
  <si>
    <t>ST 002 180 010</t>
  </si>
  <si>
    <t>dr</t>
  </si>
  <si>
    <t>4 + 34</t>
  </si>
  <si>
    <t>County</t>
  </si>
  <si>
    <t>Covington</t>
  </si>
  <si>
    <r>
      <t xml:space="preserve">Latitude </t>
    </r>
    <r>
      <rPr>
        <sz val="11"/>
        <rFont val="Century Gothic"/>
        <family val="2"/>
      </rPr>
      <t>˚</t>
    </r>
  </si>
  <si>
    <r>
      <t xml:space="preserve">Longitude </t>
    </r>
    <r>
      <rPr>
        <sz val="11"/>
        <rFont val="Century Gothic"/>
        <family val="2"/>
      </rPr>
      <t>˚</t>
    </r>
  </si>
  <si>
    <t>Opp</t>
  </si>
  <si>
    <t>Reference Rainfall Gage</t>
  </si>
  <si>
    <t>Stream</t>
  </si>
  <si>
    <t>culvert</t>
  </si>
  <si>
    <t>acres</t>
  </si>
  <si>
    <t xml:space="preserve">min </t>
  </si>
  <si>
    <t>Recurrence</t>
  </si>
  <si>
    <t>Y intercept</t>
  </si>
  <si>
    <t>addend</t>
  </si>
  <si>
    <t>Exponent</t>
  </si>
  <si>
    <t>Intensity</t>
  </si>
  <si>
    <t>Interval</t>
  </si>
  <si>
    <r>
      <t>t</t>
    </r>
    <r>
      <rPr>
        <vertAlign val="subscript"/>
        <sz val="11"/>
        <color theme="1"/>
        <rFont val="Calibri"/>
        <family val="2"/>
      </rPr>
      <t>c</t>
    </r>
  </si>
  <si>
    <t>a</t>
  </si>
  <si>
    <t>b</t>
  </si>
  <si>
    <t>m</t>
  </si>
  <si>
    <t>I</t>
  </si>
  <si>
    <t>Year</t>
  </si>
  <si>
    <t>min</t>
  </si>
  <si>
    <t>in./ hr</t>
  </si>
  <si>
    <t>Equation Rainfall Intensities, in./hr</t>
  </si>
  <si>
    <r>
      <t>t</t>
    </r>
    <r>
      <rPr>
        <vertAlign val="subscript"/>
        <sz val="11"/>
        <color theme="1"/>
        <rFont val="Calibri"/>
        <family val="2"/>
      </rPr>
      <t xml:space="preserve">c  </t>
    </r>
    <r>
      <rPr>
        <sz val="11"/>
        <color theme="1"/>
        <rFont val="Calibri"/>
        <family val="2"/>
      </rPr>
      <t>min</t>
    </r>
  </si>
  <si>
    <t>Peak</t>
  </si>
  <si>
    <t>Q</t>
  </si>
  <si>
    <t>100+00</t>
  </si>
  <si>
    <t>Cleburne</t>
  </si>
  <si>
    <t>Heflin</t>
  </si>
  <si>
    <t>Oxford, Anniston Metro Airport</t>
  </si>
  <si>
    <t>Cahulaga Creek</t>
  </si>
  <si>
    <t>U. S. 11</t>
  </si>
  <si>
    <t>2 + 53</t>
  </si>
  <si>
    <t>Jefferson</t>
  </si>
  <si>
    <t>Argo</t>
  </si>
  <si>
    <t>Birmingham WSFO</t>
  </si>
  <si>
    <t>Little Cahaba Creek</t>
  </si>
  <si>
    <t>Baldwin</t>
  </si>
  <si>
    <t>Gulf Shores</t>
  </si>
  <si>
    <t>Dauphin Island</t>
  </si>
  <si>
    <t>Culvert</t>
  </si>
  <si>
    <t>Dothan</t>
  </si>
  <si>
    <t>2 + 50</t>
  </si>
  <si>
    <t>Evergreen</t>
  </si>
  <si>
    <t>SR 29</t>
  </si>
  <si>
    <t>Bullock</t>
  </si>
  <si>
    <t>Union Springs</t>
  </si>
  <si>
    <t>Eufaula</t>
  </si>
  <si>
    <t>ditch</t>
  </si>
  <si>
    <t xml:space="preserve">ASDF </t>
  </si>
  <si>
    <t>Colbert</t>
  </si>
  <si>
    <t>Littleville</t>
  </si>
  <si>
    <t>Florence</t>
  </si>
  <si>
    <t>SR 117</t>
  </si>
  <si>
    <t>DeKalb</t>
  </si>
  <si>
    <t>Mentone</t>
  </si>
  <si>
    <t>Fort Payne</t>
  </si>
  <si>
    <r>
      <t>t</t>
    </r>
    <r>
      <rPr>
        <vertAlign val="subscript"/>
        <sz val="11"/>
        <color theme="1"/>
        <rFont val="Calibri"/>
        <family val="2"/>
      </rPr>
      <t xml:space="preserve">c </t>
    </r>
    <r>
      <rPr>
        <sz val="11"/>
        <color theme="1"/>
        <rFont val="Calibri"/>
        <family val="2"/>
      </rPr>
      <t>min</t>
    </r>
  </si>
  <si>
    <t>32+05</t>
  </si>
  <si>
    <t>Hamilton</t>
  </si>
  <si>
    <t>FT Hampton Rd</t>
  </si>
  <si>
    <t>Limestone</t>
  </si>
  <si>
    <t>Athens</t>
  </si>
  <si>
    <t>Huntsville Intnl</t>
  </si>
  <si>
    <t>Allen Rd</t>
  </si>
  <si>
    <t>Clarke</t>
  </si>
  <si>
    <t>Grove Hill</t>
  </si>
  <si>
    <t>Jackson</t>
  </si>
  <si>
    <t>SR 25</t>
  </si>
  <si>
    <t>122 + 12</t>
  </si>
  <si>
    <t>Hale</t>
  </si>
  <si>
    <t>Greensboro</t>
  </si>
  <si>
    <t>Livingston</t>
  </si>
  <si>
    <t>I 65</t>
  </si>
  <si>
    <t>Escambia</t>
  </si>
  <si>
    <t>Atmore</t>
  </si>
  <si>
    <t>Mobile</t>
  </si>
  <si>
    <t>Lakeberry Rd</t>
  </si>
  <si>
    <t>Lowndes</t>
  </si>
  <si>
    <t>Montgomery WB</t>
  </si>
  <si>
    <t>US 278 E</t>
  </si>
  <si>
    <t>Cullman</t>
  </si>
  <si>
    <t>Berlin</t>
  </si>
  <si>
    <t>Oneonta</t>
  </si>
  <si>
    <t>SR 50</t>
  </si>
  <si>
    <t>235+75</t>
  </si>
  <si>
    <t>Chambers</t>
  </si>
  <si>
    <t>Lafayette</t>
  </si>
  <si>
    <t>Opelika</t>
  </si>
  <si>
    <t>Co Rd 42</t>
  </si>
  <si>
    <t>102 + 45</t>
  </si>
  <si>
    <t>Chilton</t>
  </si>
  <si>
    <t>Jemison</t>
  </si>
  <si>
    <t>Prattville</t>
  </si>
  <si>
    <t xml:space="preserve">Peak </t>
  </si>
  <si>
    <t>Co Rd 75</t>
  </si>
  <si>
    <t>Pike</t>
  </si>
  <si>
    <t>Banks</t>
  </si>
  <si>
    <t>Troy</t>
  </si>
  <si>
    <t>542'</t>
  </si>
  <si>
    <t>Ditch</t>
  </si>
  <si>
    <t>Co Rd 12</t>
  </si>
  <si>
    <t>Fayette</t>
  </si>
  <si>
    <t>Newtonville</t>
  </si>
  <si>
    <t>Tuscaloosa Oliver Dam</t>
  </si>
  <si>
    <t>U. S. 72</t>
  </si>
  <si>
    <t>7+ 50</t>
  </si>
  <si>
    <t>Bridgeport 5 NW</t>
  </si>
  <si>
    <t>branch</t>
  </si>
  <si>
    <r>
      <t>Time of Concentration,  t</t>
    </r>
    <r>
      <rPr>
        <vertAlign val="subscript"/>
        <sz val="11"/>
        <color theme="1"/>
        <rFont val="Calibri"/>
        <family val="2"/>
      </rPr>
      <t>c</t>
    </r>
  </si>
  <si>
    <t>Runoff Coefficient,  C</t>
  </si>
  <si>
    <t>Drainage Area,  A</t>
  </si>
  <si>
    <t>Highway</t>
  </si>
  <si>
    <t>Rational Method Runoff Values</t>
  </si>
  <si>
    <t>Recurrence Interval</t>
  </si>
  <si>
    <t>Date Run</t>
  </si>
  <si>
    <t>Run By</t>
  </si>
  <si>
    <t>US. 43</t>
  </si>
  <si>
    <t>Thomasville</t>
  </si>
  <si>
    <t>Linden</t>
  </si>
  <si>
    <t>Marengo</t>
  </si>
  <si>
    <t>SR 69</t>
  </si>
  <si>
    <t xml:space="preserve"> </t>
  </si>
  <si>
    <t>Soil C estimation</t>
  </si>
  <si>
    <t>A.</t>
  </si>
  <si>
    <t>Soil C value (use soil survey map)</t>
  </si>
  <si>
    <t>Soil map</t>
  </si>
  <si>
    <t xml:space="preserve"> Soil map</t>
  </si>
  <si>
    <t>Land</t>
  </si>
  <si>
    <t>Slope</t>
  </si>
  <si>
    <t>Hydrologic</t>
  </si>
  <si>
    <t>line</t>
  </si>
  <si>
    <t>Composite</t>
  </si>
  <si>
    <t>Cover</t>
  </si>
  <si>
    <t>soil group</t>
  </si>
  <si>
    <t>C</t>
  </si>
  <si>
    <t>CxA</t>
  </si>
  <si>
    <t>Soil C</t>
  </si>
  <si>
    <t>%</t>
  </si>
  <si>
    <t>∑ (CxA)/A)</t>
  </si>
  <si>
    <t>B</t>
  </si>
  <si>
    <t>woods</t>
  </si>
  <si>
    <t>∑A</t>
  </si>
  <si>
    <t>∑ CxA</t>
  </si>
  <si>
    <t xml:space="preserve"> Composite C estimate</t>
  </si>
  <si>
    <t>B.</t>
  </si>
  <si>
    <t>Entrance area &amp; composite C   (Weighted average of soil C and impervious surfaces C which flow to inlet ).</t>
  </si>
  <si>
    <t xml:space="preserve">Total </t>
  </si>
  <si>
    <t>Impervious</t>
  </si>
  <si>
    <t xml:space="preserve">Soil </t>
  </si>
  <si>
    <t>Runoff</t>
  </si>
  <si>
    <t>area</t>
  </si>
  <si>
    <t xml:space="preserve"> Area</t>
  </si>
  <si>
    <t xml:space="preserve"> CxA </t>
  </si>
  <si>
    <t>Coefficient</t>
  </si>
  <si>
    <t>A</t>
  </si>
  <si>
    <t>IA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</si>
  <si>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</si>
  <si>
    <t>Station</t>
  </si>
  <si>
    <t>Project No.:</t>
  </si>
  <si>
    <t xml:space="preserve">Impervious area , IA </t>
  </si>
  <si>
    <t>10 - 85% Channel slope</t>
  </si>
  <si>
    <t>Area</t>
  </si>
  <si>
    <t>ft</t>
  </si>
  <si>
    <t>Roads</t>
  </si>
  <si>
    <t>Name</t>
  </si>
  <si>
    <t>Buildings</t>
  </si>
  <si>
    <t>Location</t>
  </si>
  <si>
    <t>value</t>
  </si>
  <si>
    <t>Subtotal</t>
  </si>
  <si>
    <t>Date</t>
  </si>
  <si>
    <t>X</t>
  </si>
  <si>
    <t>Y</t>
  </si>
  <si>
    <t xml:space="preserve">Station </t>
  </si>
  <si>
    <r>
      <t>t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limits:</t>
    </r>
  </si>
  <si>
    <r>
      <t xml:space="preserve">5 </t>
    </r>
    <r>
      <rPr>
        <sz val="11"/>
        <color theme="1"/>
        <rFont val="Calibri"/>
        <family val="2"/>
      </rPr>
      <t>≤ t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≤ 60</t>
    </r>
  </si>
  <si>
    <t>∑</t>
  </si>
  <si>
    <t>Surface</t>
  </si>
  <si>
    <t xml:space="preserve">Date </t>
  </si>
  <si>
    <t xml:space="preserve">Well defined natural </t>
  </si>
  <si>
    <t xml:space="preserve">Mowed grass roadside </t>
  </si>
  <si>
    <t xml:space="preserve">Concrete </t>
  </si>
  <si>
    <t>Channels:</t>
  </si>
  <si>
    <t>Overland Flow on:</t>
  </si>
  <si>
    <t>Bare earth</t>
  </si>
  <si>
    <t>Grassed surfaces</t>
  </si>
  <si>
    <t>Concrete  surfaces</t>
  </si>
  <si>
    <t>Asphaltic  surfaces</t>
  </si>
  <si>
    <r>
      <t>t</t>
    </r>
    <r>
      <rPr>
        <vertAlign val="subscript"/>
        <sz val="11"/>
        <rFont val="Calibri"/>
        <family val="2"/>
        <scheme val="minor"/>
      </rPr>
      <t xml:space="preserve">c </t>
    </r>
    <r>
      <rPr>
        <sz val="11"/>
        <rFont val="Calibri"/>
        <family val="2"/>
        <scheme val="minor"/>
      </rPr>
      <t>multiplier</t>
    </r>
  </si>
  <si>
    <t>Flow</t>
  </si>
  <si>
    <t>Stream:</t>
  </si>
  <si>
    <t>cfs</t>
  </si>
  <si>
    <t>yrs</t>
  </si>
  <si>
    <t>Date run:</t>
  </si>
  <si>
    <t>Volume</t>
  </si>
  <si>
    <t>in.</t>
  </si>
  <si>
    <t xml:space="preserve"> 0.16 ≤ 41.8</t>
  </si>
  <si>
    <t>0.59 ≤  481</t>
  </si>
  <si>
    <t xml:space="preserve"> 5.2 ≤ 296.2</t>
  </si>
  <si>
    <t>1.11 ≤ 485.0</t>
  </si>
  <si>
    <t>0.335 - 44.3</t>
  </si>
  <si>
    <t>4.2 ≤  83.3</t>
  </si>
  <si>
    <t>Jay Creek near Coker</t>
  </si>
  <si>
    <r>
      <t xml:space="preserve">20  </t>
    </r>
    <r>
      <rPr>
        <sz val="11"/>
        <color theme="1"/>
        <rFont val="Calibri"/>
        <family val="2"/>
      </rPr>
      <t>to 100</t>
    </r>
  </si>
  <si>
    <r>
      <t xml:space="preserve">5 </t>
    </r>
    <r>
      <rPr>
        <sz val="11"/>
        <color theme="1"/>
        <rFont val="Calibri"/>
        <family val="2"/>
      </rPr>
      <t>≤ 1027</t>
    </r>
  </si>
  <si>
    <r>
      <t xml:space="preserve">5 </t>
    </r>
    <r>
      <rPr>
        <sz val="11"/>
        <color theme="1"/>
        <rFont val="Calibri"/>
        <family val="2"/>
      </rPr>
      <t>≤  1097</t>
    </r>
  </si>
  <si>
    <r>
      <t xml:space="preserve">5 </t>
    </r>
    <r>
      <rPr>
        <sz val="11"/>
        <color theme="1"/>
        <rFont val="Calibri"/>
        <family val="2"/>
      </rPr>
      <t>≤  607</t>
    </r>
  </si>
  <si>
    <r>
      <t xml:space="preserve">5 </t>
    </r>
    <r>
      <rPr>
        <sz val="11"/>
        <color theme="1"/>
        <rFont val="Calibri"/>
        <family val="2"/>
      </rPr>
      <t>≤  1344</t>
    </r>
  </si>
  <si>
    <r>
      <t>Q</t>
    </r>
    <r>
      <rPr>
        <vertAlign val="subscript"/>
        <sz val="11"/>
        <color theme="1"/>
        <rFont val="Calibri"/>
        <family val="2"/>
        <scheme val="minor"/>
      </rPr>
      <t>p</t>
    </r>
  </si>
  <si>
    <r>
      <t xml:space="preserve">10.6 </t>
    </r>
    <r>
      <rPr>
        <sz val="11"/>
        <color theme="1"/>
        <rFont val="Calibri"/>
        <family val="2"/>
      </rPr>
      <t>≤ 295.6</t>
    </r>
  </si>
  <si>
    <r>
      <t xml:space="preserve">8.4 </t>
    </r>
    <r>
      <rPr>
        <sz val="11"/>
        <color theme="1"/>
        <rFont val="Calibri"/>
        <family val="2"/>
      </rPr>
      <t>≤  42.9</t>
    </r>
  </si>
  <si>
    <t>Location:</t>
  </si>
  <si>
    <r>
      <t>t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is longest flow time of all flow paths</t>
    </r>
  </si>
  <si>
    <r>
      <t>t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</si>
  <si>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t>For rational method C evaluation</t>
  </si>
  <si>
    <t>Montgomery</t>
  </si>
  <si>
    <t>Regions:</t>
  </si>
  <si>
    <t>Urban Peak</t>
  </si>
  <si>
    <r>
      <t>DA Range 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</si>
  <si>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 xml:space="preserve">1 to 43 </t>
  </si>
  <si>
    <r>
      <t>DA (mi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</si>
  <si>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t>IA (%)</t>
  </si>
  <si>
    <t>LT (hr)</t>
  </si>
  <si>
    <t>Elmore</t>
  </si>
  <si>
    <t>Strearns Creek</t>
  </si>
  <si>
    <t>Little Steel Bridge Road</t>
  </si>
  <si>
    <t>Near Seman</t>
  </si>
  <si>
    <t>1, 2, &amp; 4</t>
  </si>
  <si>
    <t>P.D. (%)</t>
  </si>
  <si>
    <t>North of  fall Llne</t>
  </si>
  <si>
    <t>north</t>
  </si>
  <si>
    <t>South of  fall Llne</t>
  </si>
  <si>
    <t>N or S of fall line?</t>
  </si>
  <si>
    <t>Length</t>
  </si>
  <si>
    <t>Elev</t>
  </si>
  <si>
    <t>Outlet</t>
  </si>
  <si>
    <t xml:space="preserve">Stream </t>
  </si>
  <si>
    <t>398 + 93</t>
  </si>
  <si>
    <t>Return</t>
  </si>
  <si>
    <t>Period</t>
  </si>
  <si>
    <t>1,2,3,&amp; 4</t>
  </si>
  <si>
    <t>SR 18</t>
  </si>
  <si>
    <t>1 to 15</t>
  </si>
  <si>
    <t>South</t>
  </si>
  <si>
    <t xml:space="preserve">Three mile branch at Biltmore Ave. </t>
  </si>
  <si>
    <r>
      <rPr>
        <sz val="11"/>
        <color theme="1"/>
        <rFont val="Calibri"/>
        <family val="2"/>
      </rPr>
      <t xml:space="preserve">&lt; </t>
    </r>
    <r>
      <rPr>
        <sz val="11"/>
        <color theme="1"/>
        <rFont val="Calibri"/>
        <family val="2"/>
        <scheme val="minor"/>
      </rPr>
      <t xml:space="preserve">20 % </t>
    </r>
  </si>
  <si>
    <t>Strearns Creek near Seman</t>
  </si>
  <si>
    <t>na</t>
  </si>
  <si>
    <r>
      <t xml:space="preserve">10-85% </t>
    </r>
    <r>
      <rPr>
        <sz val="11"/>
        <color theme="1"/>
        <rFont val="Century Gothic"/>
        <family val="2"/>
      </rPr>
      <t>Δ's</t>
    </r>
  </si>
  <si>
    <t>400+00</t>
  </si>
  <si>
    <t>Hydrograph</t>
  </si>
  <si>
    <t>Time ratio</t>
  </si>
  <si>
    <t>Discharge</t>
  </si>
  <si>
    <t>Time</t>
  </si>
  <si>
    <t>t/LT</t>
  </si>
  <si>
    <t>ratio</t>
  </si>
  <si>
    <t>Q/Qp</t>
  </si>
  <si>
    <t>hrs</t>
  </si>
  <si>
    <t>Urb IA range, IA, %</t>
  </si>
  <si>
    <t>sec</t>
  </si>
  <si>
    <t>cu ft</t>
  </si>
  <si>
    <t>Decimal</t>
  </si>
  <si>
    <t>(WRIP 88-4041)</t>
  </si>
  <si>
    <t>(trapezoidal rule)</t>
  </si>
  <si>
    <t>Andalusia</t>
  </si>
  <si>
    <t>Anniston</t>
  </si>
  <si>
    <t>Birmingham</t>
  </si>
  <si>
    <t>Bridgeport</t>
  </si>
  <si>
    <t>Huntsville</t>
  </si>
  <si>
    <t>Tuscaloosa</t>
  </si>
  <si>
    <t>NOAA Atlas 14</t>
  </si>
  <si>
    <t>Volume 9</t>
  </si>
  <si>
    <t>2013 Intensity Coefficients</t>
  </si>
  <si>
    <t>I = a/(t +b)^m</t>
  </si>
  <si>
    <t>Latitude</t>
  </si>
  <si>
    <r>
      <t>32.4833</t>
    </r>
    <r>
      <rPr>
        <sz val="11"/>
        <color theme="1"/>
        <rFont val="Century Gothic"/>
        <family val="2"/>
      </rPr>
      <t>˚</t>
    </r>
  </si>
  <si>
    <t>Longitude</t>
  </si>
  <si>
    <r>
      <t>86.4833</t>
    </r>
    <r>
      <rPr>
        <sz val="11"/>
        <color theme="1"/>
        <rFont val="Century Gothic"/>
        <family val="2"/>
      </rPr>
      <t>˚</t>
    </r>
  </si>
  <si>
    <t>302'</t>
  </si>
  <si>
    <r>
      <t>33.2097</t>
    </r>
    <r>
      <rPr>
        <sz val="11"/>
        <color theme="1"/>
        <rFont val="Century Gothic"/>
        <family val="2"/>
      </rPr>
      <t>˚</t>
    </r>
  </si>
  <si>
    <r>
      <t>87.5936</t>
    </r>
    <r>
      <rPr>
        <sz val="11"/>
        <color theme="1"/>
        <rFont val="Century Gothic"/>
        <family val="2"/>
      </rPr>
      <t>˚</t>
    </r>
  </si>
  <si>
    <t>152'</t>
  </si>
  <si>
    <t>624'</t>
  </si>
  <si>
    <t>Latitude:</t>
  </si>
  <si>
    <r>
      <t>31.1942</t>
    </r>
    <r>
      <rPr>
        <sz val="11"/>
        <rFont val="Century Gothic"/>
        <family val="2"/>
      </rPr>
      <t>˚</t>
    </r>
  </si>
  <si>
    <t>Longitude:</t>
  </si>
  <si>
    <r>
      <t>85.3708</t>
    </r>
    <r>
      <rPr>
        <sz val="11"/>
        <rFont val="Century Gothic"/>
        <family val="2"/>
      </rPr>
      <t>˚</t>
    </r>
  </si>
  <si>
    <t>275'</t>
  </si>
  <si>
    <r>
      <t>31.9172</t>
    </r>
    <r>
      <rPr>
        <sz val="11"/>
        <rFont val="Century Gothic"/>
        <family val="2"/>
      </rPr>
      <t>˚</t>
    </r>
  </si>
  <si>
    <r>
      <t>87.7347</t>
    </r>
    <r>
      <rPr>
        <sz val="11"/>
        <rFont val="Century Gothic"/>
        <family val="2"/>
      </rPr>
      <t>˚</t>
    </r>
  </si>
  <si>
    <t>390'</t>
  </si>
  <si>
    <r>
      <t>30.6833</t>
    </r>
    <r>
      <rPr>
        <sz val="11"/>
        <rFont val="Century Gothic"/>
        <family val="2"/>
      </rPr>
      <t>˚</t>
    </r>
  </si>
  <si>
    <r>
      <t>88.0333</t>
    </r>
    <r>
      <rPr>
        <sz val="11"/>
        <rFont val="Century Gothic"/>
        <family val="2"/>
      </rPr>
      <t>˚</t>
    </r>
  </si>
  <si>
    <t>10'</t>
  </si>
  <si>
    <t>250'</t>
  </si>
  <si>
    <r>
      <t>32.6592</t>
    </r>
    <r>
      <rPr>
        <sz val="11"/>
        <rFont val="Century Gothic"/>
        <family val="2"/>
      </rPr>
      <t>˚</t>
    </r>
  </si>
  <si>
    <r>
      <t>85.4492</t>
    </r>
    <r>
      <rPr>
        <sz val="11"/>
        <rFont val="Century Gothic"/>
        <family val="2"/>
      </rPr>
      <t>˚</t>
    </r>
  </si>
  <si>
    <t>640'</t>
  </si>
  <si>
    <r>
      <t>33.5872</t>
    </r>
    <r>
      <rPr>
        <sz val="11"/>
        <rFont val="Century Gothic"/>
        <family val="2"/>
      </rPr>
      <t>˚</t>
    </r>
  </si>
  <si>
    <r>
      <t>85.8556</t>
    </r>
    <r>
      <rPr>
        <sz val="11"/>
        <rFont val="Century Gothic"/>
        <family val="2"/>
      </rPr>
      <t>˚</t>
    </r>
  </si>
  <si>
    <t>594'</t>
  </si>
  <si>
    <t>892'</t>
  </si>
  <si>
    <r>
      <t>34.0967</t>
    </r>
    <r>
      <rPr>
        <sz val="11"/>
        <rFont val="Century Gothic"/>
        <family val="2"/>
      </rPr>
      <t>˚</t>
    </r>
  </si>
  <si>
    <r>
      <t>87.9914</t>
    </r>
    <r>
      <rPr>
        <sz val="11"/>
        <rFont val="Century Gothic"/>
        <family val="2"/>
      </rPr>
      <t>˚</t>
    </r>
  </si>
  <si>
    <t>435'</t>
  </si>
  <si>
    <r>
      <t>34.8000</t>
    </r>
    <r>
      <rPr>
        <sz val="11"/>
        <rFont val="Century Gothic"/>
        <family val="2"/>
      </rPr>
      <t>˚</t>
    </r>
  </si>
  <si>
    <r>
      <t>87.6833</t>
    </r>
    <r>
      <rPr>
        <sz val="11"/>
        <rFont val="Century Gothic"/>
        <family val="2"/>
      </rPr>
      <t>˚</t>
    </r>
  </si>
  <si>
    <t>581'</t>
  </si>
  <si>
    <r>
      <t>34.4406</t>
    </r>
    <r>
      <rPr>
        <sz val="11"/>
        <rFont val="Century Gothic"/>
        <family val="2"/>
      </rPr>
      <t>˚</t>
    </r>
  </si>
  <si>
    <r>
      <t>85.7236</t>
    </r>
    <r>
      <rPr>
        <sz val="11"/>
        <rFont val="Century Gothic"/>
        <family val="2"/>
      </rPr>
      <t>˚</t>
    </r>
  </si>
  <si>
    <t>917'</t>
  </si>
  <si>
    <t>290'</t>
  </si>
  <si>
    <r>
      <t>31.8667</t>
    </r>
    <r>
      <rPr>
        <sz val="11"/>
        <rFont val="Century Gothic"/>
        <family val="2"/>
      </rPr>
      <t>˚</t>
    </r>
  </si>
  <si>
    <r>
      <t>85.1500</t>
    </r>
    <r>
      <rPr>
        <sz val="11"/>
        <rFont val="Century Gothic"/>
        <family val="2"/>
      </rPr>
      <t>˚</t>
    </r>
  </si>
  <si>
    <t>Elevation:</t>
  </si>
  <si>
    <t>200'</t>
  </si>
  <si>
    <r>
      <t>33.4667</t>
    </r>
    <r>
      <rPr>
        <sz val="11"/>
        <rFont val="Century Gothic"/>
        <family val="2"/>
      </rPr>
      <t>˚</t>
    </r>
  </si>
  <si>
    <r>
      <t>86.8333</t>
    </r>
    <r>
      <rPr>
        <sz val="11"/>
        <rFont val="Century Gothic"/>
        <family val="2"/>
      </rPr>
      <t>˚</t>
    </r>
  </si>
  <si>
    <t>744'</t>
  </si>
  <si>
    <t>32.3833˚</t>
  </si>
  <si>
    <t>86.3000˚</t>
  </si>
  <si>
    <t>256'</t>
  </si>
  <si>
    <t>34.9786˚</t>
  </si>
  <si>
    <t>670'</t>
  </si>
  <si>
    <r>
      <t>31.5250</t>
    </r>
    <r>
      <rPr>
        <sz val="11"/>
        <rFont val="Century Gothic"/>
        <family val="2"/>
      </rPr>
      <t>˚</t>
    </r>
  </si>
  <si>
    <r>
      <t>87.9278</t>
    </r>
    <r>
      <rPr>
        <sz val="11"/>
        <rFont val="Century Gothic"/>
        <family val="2"/>
      </rPr>
      <t>˚</t>
    </r>
  </si>
  <si>
    <t>220'</t>
  </si>
  <si>
    <r>
      <t>30.2500</t>
    </r>
    <r>
      <rPr>
        <sz val="11"/>
        <rFont val="Century Gothic"/>
        <family val="2"/>
      </rPr>
      <t>˚</t>
    </r>
  </si>
  <si>
    <r>
      <t>88.0833</t>
    </r>
    <r>
      <rPr>
        <sz val="11"/>
        <rFont val="Century Gothic"/>
        <family val="2"/>
      </rPr>
      <t>˚</t>
    </r>
  </si>
  <si>
    <t>8'</t>
  </si>
  <si>
    <t>32.5811˚</t>
  </si>
  <si>
    <t>88.1897˚</t>
  </si>
  <si>
    <t>128'</t>
  </si>
  <si>
    <t>31.8075˚</t>
  </si>
  <si>
    <t>85.9722˚</t>
  </si>
  <si>
    <t>Estimated</t>
  </si>
  <si>
    <r>
      <t>Flow,  Q</t>
    </r>
    <r>
      <rPr>
        <b/>
        <vertAlign val="subscript"/>
        <sz val="11"/>
        <color theme="1"/>
        <rFont val="Calibri"/>
        <family val="2"/>
        <scheme val="minor"/>
      </rPr>
      <t>p</t>
    </r>
  </si>
  <si>
    <t>Percent</t>
  </si>
  <si>
    <t>Calculated</t>
  </si>
  <si>
    <t>Path started from Outlet</t>
  </si>
  <si>
    <t>ft/mi</t>
  </si>
  <si>
    <t>Path end at periphery</t>
  </si>
  <si>
    <t>Peak Flow</t>
  </si>
  <si>
    <t>WS-Weather Station</t>
  </si>
  <si>
    <t>DA- Drainage area</t>
  </si>
  <si>
    <t>PD- percent developed</t>
  </si>
  <si>
    <t>AOI- Area of interest</t>
  </si>
  <si>
    <t>IA- Impervious area</t>
  </si>
  <si>
    <r>
      <t>t</t>
    </r>
    <r>
      <rPr>
        <vertAlign val="subscript"/>
        <sz val="11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 xml:space="preserve"> time of concentration</t>
    </r>
  </si>
  <si>
    <t>Hydrographs</t>
  </si>
  <si>
    <t>Yes</t>
  </si>
  <si>
    <t>No</t>
  </si>
  <si>
    <t>Equations sheet</t>
  </si>
  <si>
    <t xml:space="preserve">S-slope of 10-85% of flow path </t>
  </si>
  <si>
    <t>LT-lag time</t>
  </si>
  <si>
    <t xml:space="preserve">       Hydrograph sheet</t>
  </si>
  <si>
    <t>North Fork</t>
  </si>
  <si>
    <t>US 43</t>
  </si>
  <si>
    <t>Marion</t>
  </si>
  <si>
    <t>BROPL</t>
  </si>
  <si>
    <t>rate</t>
  </si>
  <si>
    <t>USGS</t>
  </si>
  <si>
    <t>USGS estimated volume multiplicand</t>
  </si>
  <si>
    <r>
      <t>USGS vol. ranges: (A: 0.16-481 sq mi), (Q</t>
    </r>
    <r>
      <rPr>
        <vertAlign val="subscript"/>
        <sz val="11"/>
        <color theme="1"/>
        <rFont val="Calibri"/>
        <family val="2"/>
        <scheme val="minor"/>
      </rPr>
      <t xml:space="preserve">P </t>
    </r>
    <r>
      <rPr>
        <sz val="11"/>
        <color theme="1"/>
        <rFont val="Calibri"/>
        <family val="2"/>
        <scheme val="minor"/>
      </rPr>
      <t xml:space="preserve"> 12.4-30,100 cfs), LT: 0.335-44.3 hr)</t>
    </r>
  </si>
  <si>
    <t xml:space="preserve">USGS </t>
  </si>
  <si>
    <t>USGS estimated vol. multiplicand</t>
  </si>
  <si>
    <t xml:space="preserve">USGS Estimated Volume </t>
  </si>
  <si>
    <t>Mount Vernon</t>
  </si>
  <si>
    <r>
      <t>31.0881</t>
    </r>
    <r>
      <rPr>
        <sz val="11"/>
        <rFont val="Century Gothic"/>
        <family val="2"/>
      </rPr>
      <t>˚</t>
    </r>
  </si>
  <si>
    <t>172'</t>
  </si>
  <si>
    <r>
      <t>31.0881</t>
    </r>
    <r>
      <rPr>
        <b/>
        <sz val="11"/>
        <color theme="1"/>
        <rFont val="Century Gothic"/>
        <family val="2"/>
      </rPr>
      <t>˚</t>
    </r>
  </si>
  <si>
    <r>
      <t>88.0258</t>
    </r>
    <r>
      <rPr>
        <b/>
        <sz val="11"/>
        <rFont val="Century Gothic"/>
        <family val="2"/>
      </rPr>
      <t>˚</t>
    </r>
  </si>
  <si>
    <t>Impervious Item</t>
  </si>
  <si>
    <t xml:space="preserve"> Weather Stations with Intensity Equations</t>
  </si>
  <si>
    <r>
      <t>Latitude</t>
    </r>
    <r>
      <rPr>
        <sz val="11"/>
        <rFont val="Century Gothic"/>
        <family val="2"/>
      </rPr>
      <t>˚</t>
    </r>
  </si>
  <si>
    <r>
      <t>Longitude</t>
    </r>
    <r>
      <rPr>
        <sz val="11"/>
        <rFont val="Century Gothic"/>
        <family val="2"/>
      </rPr>
      <t>˚</t>
    </r>
  </si>
  <si>
    <t>(For regression equations lag time (LT))</t>
  </si>
  <si>
    <t>85% of path from outlet</t>
  </si>
  <si>
    <t>10% of path from outlet</t>
  </si>
  <si>
    <t>yr</t>
  </si>
  <si>
    <r>
      <t xml:space="preserve"> ft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</rPr>
      <t>/ sec</t>
    </r>
  </si>
  <si>
    <r>
      <t>t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 xml:space="preserve">  min</t>
    </r>
  </si>
  <si>
    <t>Highest El. (ft)</t>
  </si>
  <si>
    <t>Lowest El. (ft)</t>
  </si>
  <si>
    <t>Δ Elev. (ft)</t>
  </si>
  <si>
    <r>
      <rPr>
        <sz val="11"/>
        <rFont val="Century Gothic"/>
        <family val="2"/>
      </rPr>
      <t>Δ</t>
    </r>
    <r>
      <rPr>
        <sz val="11"/>
        <rFont val="Calibri"/>
        <family val="2"/>
      </rPr>
      <t xml:space="preserve"> </t>
    </r>
    <r>
      <rPr>
        <sz val="11"/>
        <rFont val="Calibri"/>
        <family val="2"/>
        <scheme val="minor"/>
      </rPr>
      <t>Length (ft)</t>
    </r>
  </si>
  <si>
    <t>Slope, S (ft/ft)</t>
  </si>
  <si>
    <t>Segment time (min)</t>
  </si>
  <si>
    <t>Modified time (min)</t>
  </si>
  <si>
    <t>Date run</t>
  </si>
  <si>
    <t>Return period (yr)</t>
  </si>
  <si>
    <t>Peak Flow, Q (cfs)</t>
  </si>
  <si>
    <r>
      <t>LT or t</t>
    </r>
    <r>
      <rPr>
        <vertAlign val="subscript"/>
        <sz val="11"/>
        <color theme="1"/>
        <rFont val="Calibri"/>
        <family val="2"/>
        <scheme val="minor"/>
      </rPr>
      <t xml:space="preserve">c </t>
    </r>
    <r>
      <rPr>
        <sz val="11"/>
        <color theme="1"/>
        <rFont val="Calibri"/>
        <family val="2"/>
        <scheme val="minor"/>
      </rPr>
      <t>(min)</t>
    </r>
  </si>
  <si>
    <t>DA (acres)</t>
  </si>
  <si>
    <t>DA (sq mi)</t>
  </si>
  <si>
    <r>
      <t>Kirpich Time of Concentration, t</t>
    </r>
    <r>
      <rPr>
        <b/>
        <vertAlign val="subscript"/>
        <sz val="14"/>
        <color theme="1"/>
        <rFont val="Calibri"/>
        <family val="2"/>
        <scheme val="minor"/>
      </rPr>
      <t xml:space="preserve">c </t>
    </r>
    <r>
      <rPr>
        <b/>
        <sz val="14"/>
        <color theme="1"/>
        <rFont val="Calibri"/>
        <family val="2"/>
        <scheme val="minor"/>
      </rPr>
      <t>, Calculator</t>
    </r>
  </si>
  <si>
    <r>
      <t>DA, range, 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</si>
  <si>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n/a</t>
  </si>
  <si>
    <t>Region</t>
  </si>
  <si>
    <t>PD Range  (%)</t>
  </si>
  <si>
    <t>Slope range, S, (ft/mi)</t>
  </si>
  <si>
    <t>S, (ft/mi)</t>
  </si>
  <si>
    <r>
      <t>LT, DA range, 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</si>
  <si>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Slope range, (ft/mi)</t>
  </si>
  <si>
    <t>Vol. flow range, Q (cfs)</t>
  </si>
  <si>
    <t>Vol. LT range (hr)</t>
  </si>
  <si>
    <t>Urban Lagtime (LT) equations</t>
  </si>
  <si>
    <t>12.4 - 30,100</t>
  </si>
  <si>
    <t>Calculated total volume of flow (cu ft)</t>
  </si>
  <si>
    <t>Base flow volume (cu ft)</t>
  </si>
  <si>
    <t>Direct rainfall runoff (cu ft)</t>
  </si>
  <si>
    <t>Rural Lagtime (LT) equations</t>
  </si>
  <si>
    <t xml:space="preserve">               Rural Lagtime (LT) equations</t>
  </si>
  <si>
    <t xml:space="preserve">            (for hydrograph computatuions)</t>
  </si>
  <si>
    <t>North of  Fall Line</t>
  </si>
  <si>
    <t>South of  Fall Line</t>
  </si>
  <si>
    <t xml:space="preserve"> (for hydrograph computations)</t>
  </si>
  <si>
    <t>Station:</t>
  </si>
  <si>
    <t>ANDALUSIA</t>
  </si>
  <si>
    <t>3 W</t>
  </si>
  <si>
    <t>ANNISTON</t>
  </si>
  <si>
    <t>METRO AP</t>
  </si>
  <si>
    <t>BIRMINGHAM</t>
  </si>
  <si>
    <t>WSFO</t>
  </si>
  <si>
    <t>BRIDGEPORT</t>
  </si>
  <si>
    <t>DAUPHIN</t>
  </si>
  <si>
    <t>ISLAND #2</t>
  </si>
  <si>
    <t>DOTHAN</t>
  </si>
  <si>
    <t>EUFAULA</t>
  </si>
  <si>
    <t>EVERGREEN</t>
  </si>
  <si>
    <t>FLORENCE</t>
  </si>
  <si>
    <t>FT PAYNE</t>
  </si>
  <si>
    <t>HAMILTON</t>
  </si>
  <si>
    <t>3 S</t>
  </si>
  <si>
    <t>HUNTSVILLE</t>
  </si>
  <si>
    <t>INTNL AP</t>
  </si>
  <si>
    <t>JACKSON</t>
  </si>
  <si>
    <t>LIVINGSTON</t>
  </si>
  <si>
    <t>MOBILE</t>
  </si>
  <si>
    <t>MONTGOMERY</t>
  </si>
  <si>
    <t>WB</t>
  </si>
  <si>
    <t xml:space="preserve">MOUNT </t>
  </si>
  <si>
    <t>VERNON</t>
  </si>
  <si>
    <t>ONEONTA</t>
  </si>
  <si>
    <t>OPELIKA</t>
  </si>
  <si>
    <t>PRATTVILLE</t>
  </si>
  <si>
    <t>THOMASVILLE</t>
  </si>
  <si>
    <t>TROY</t>
  </si>
  <si>
    <t>TUSCALOOSA</t>
  </si>
  <si>
    <t>OLIVER DAM</t>
  </si>
  <si>
    <r>
      <t>Intensity Formula: I = a /( t</t>
    </r>
    <r>
      <rPr>
        <b/>
        <vertAlign val="subscript"/>
        <sz val="11"/>
        <rFont val="Calibri"/>
        <family val="2"/>
      </rPr>
      <t>c</t>
    </r>
    <r>
      <rPr>
        <b/>
        <sz val="11"/>
        <rFont val="Calibri"/>
        <family val="2"/>
      </rPr>
      <t>+ b )</t>
    </r>
    <r>
      <rPr>
        <b/>
        <vertAlign val="superscript"/>
        <sz val="11"/>
        <rFont val="Calibri"/>
        <family val="2"/>
      </rPr>
      <t>m</t>
    </r>
  </si>
  <si>
    <r>
      <t>Intensity Formula: I = a /( t</t>
    </r>
    <r>
      <rPr>
        <b/>
        <vertAlign val="subscript"/>
        <sz val="11"/>
        <rFont val="Calibri"/>
        <family val="2"/>
      </rPr>
      <t>C</t>
    </r>
    <r>
      <rPr>
        <b/>
        <sz val="11"/>
        <rFont val="Calibri"/>
        <family val="2"/>
      </rPr>
      <t>+ b )</t>
    </r>
    <r>
      <rPr>
        <b/>
        <vertAlign val="superscript"/>
        <sz val="11"/>
        <rFont val="Calibri"/>
        <family val="2"/>
      </rPr>
      <t>m</t>
    </r>
  </si>
  <si>
    <t>USGS WRIP 88-4041  estimated depth:</t>
  </si>
  <si>
    <t>USGS estimated total vol. of flow:</t>
  </si>
  <si>
    <t>Jacksom</t>
  </si>
  <si>
    <t xml:space="preserve">Channel </t>
  </si>
  <si>
    <t>Segment 1</t>
  </si>
  <si>
    <t>Segment 2</t>
  </si>
  <si>
    <t>Segment 3</t>
  </si>
  <si>
    <t>Segment 4</t>
  </si>
  <si>
    <t>Segment 5</t>
  </si>
  <si>
    <t xml:space="preserve">Overland </t>
  </si>
  <si>
    <t>Elev. (ft)</t>
  </si>
  <si>
    <t xml:space="preserve">Project </t>
  </si>
  <si>
    <r>
      <t xml:space="preserve">                  Kirpich t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Modifiers</t>
    </r>
  </si>
  <si>
    <r>
      <t xml:space="preserve">                       Kirpich t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Modifiers</t>
    </r>
  </si>
  <si>
    <t xml:space="preserve">     Flow Path 1</t>
  </si>
  <si>
    <t xml:space="preserve"> Flow Path 3 </t>
  </si>
  <si>
    <t xml:space="preserve">      Flow Path 2 </t>
  </si>
  <si>
    <t xml:space="preserve">  Flow Path 4 </t>
  </si>
  <si>
    <t>Elev. (Ft)</t>
  </si>
  <si>
    <t>Elev (ft)</t>
  </si>
  <si>
    <t>12+89</t>
  </si>
  <si>
    <t>ST 9991</t>
  </si>
  <si>
    <t>123+54</t>
  </si>
  <si>
    <t>23+17</t>
  </si>
  <si>
    <t>BXF 2018 (12)</t>
  </si>
  <si>
    <t>w</t>
  </si>
  <si>
    <t>102 +88</t>
  </si>
  <si>
    <t>32+04</t>
  </si>
  <si>
    <t>32+99</t>
  </si>
  <si>
    <t>98+23</t>
  </si>
  <si>
    <t>74+75</t>
  </si>
  <si>
    <t>XYZ</t>
  </si>
  <si>
    <t>Conecuh</t>
  </si>
  <si>
    <t>Dale</t>
  </si>
  <si>
    <t>Ozark</t>
  </si>
  <si>
    <t>ABC</t>
  </si>
  <si>
    <t>∑ line</t>
  </si>
  <si>
    <t>PD Range (%)</t>
  </si>
  <si>
    <t>PD %</t>
  </si>
  <si>
    <t>&lt; 20 %</t>
  </si>
  <si>
    <t>Example 1</t>
  </si>
  <si>
    <t>Co. Rd. 12</t>
  </si>
  <si>
    <t>natural</t>
  </si>
  <si>
    <t>Subarea</t>
  </si>
  <si>
    <t>SR 14</t>
  </si>
  <si>
    <t>BaB</t>
  </si>
  <si>
    <t>Bama fine sandy loam</t>
  </si>
  <si>
    <t>2 to 5</t>
  </si>
  <si>
    <t>LsD</t>
  </si>
  <si>
    <t>Luverne-Smithdale complex</t>
  </si>
  <si>
    <t>5 to 15</t>
  </si>
  <si>
    <t>Greensboro west</t>
  </si>
  <si>
    <t xml:space="preserve">                 Map Unit Description /</t>
  </si>
  <si>
    <t xml:space="preserve">Major soils </t>
  </si>
  <si>
    <t>unit code</t>
  </si>
  <si>
    <t>unit area</t>
  </si>
  <si>
    <t>C x A</t>
  </si>
  <si>
    <t xml:space="preserve">      Bama fine sandy loam</t>
  </si>
  <si>
    <t>C &amp; B</t>
  </si>
  <si>
    <t xml:space="preserve">      Luverne</t>
  </si>
  <si>
    <t xml:space="preserve">      Smithdale</t>
  </si>
  <si>
    <t xml:space="preserve">                                                                      </t>
  </si>
  <si>
    <t>Greensboro east</t>
  </si>
  <si>
    <t>Houses</t>
  </si>
  <si>
    <t>Driveways</t>
  </si>
  <si>
    <t>Σ</t>
  </si>
  <si>
    <t>Swimming pool</t>
  </si>
  <si>
    <t>Hwy 14</t>
  </si>
  <si>
    <t>Subtotals</t>
  </si>
  <si>
    <t>Tutwiler St</t>
  </si>
  <si>
    <t>previous sheet</t>
  </si>
  <si>
    <t>Otis St</t>
  </si>
  <si>
    <t>this sheet</t>
  </si>
  <si>
    <t>Main St.</t>
  </si>
  <si>
    <t>1st St</t>
  </si>
  <si>
    <t>Cargile St</t>
  </si>
  <si>
    <t xml:space="preserve">     Swimming pool</t>
  </si>
  <si>
    <t xml:space="preserve">     Runoff Coefficient C </t>
  </si>
  <si>
    <t xml:space="preserve">                   For soil map units with one or multiple major soils</t>
  </si>
  <si>
    <t>`</t>
  </si>
  <si>
    <t xml:space="preserve">                                     Unit Major Soil(s) Description </t>
  </si>
  <si>
    <t>For urban regression equations lagtime</t>
  </si>
  <si>
    <t>IA %</t>
  </si>
  <si>
    <t>AEP</t>
  </si>
  <si>
    <t>2020  Small Rural Regression Equations</t>
  </si>
  <si>
    <t xml:space="preserve">   2020  Large Rural Regression Equations</t>
  </si>
  <si>
    <t>SEP</t>
  </si>
  <si>
    <t>Region 1</t>
  </si>
  <si>
    <t>Est. Vol.</t>
  </si>
  <si>
    <t>Region 2</t>
  </si>
  <si>
    <t>Region 3</t>
  </si>
  <si>
    <t>Region 4</t>
  </si>
  <si>
    <t>USGS estimated vol. multiplicand:</t>
  </si>
  <si>
    <t>Mean</t>
  </si>
  <si>
    <t>of Predict.</t>
  </si>
  <si>
    <t>1 + 00</t>
  </si>
  <si>
    <t>SEE</t>
  </si>
  <si>
    <t>of Est.</t>
  </si>
  <si>
    <t>Annual</t>
  </si>
  <si>
    <t>Exced.Prob.</t>
  </si>
  <si>
    <t>Std. Error</t>
  </si>
  <si>
    <t xml:space="preserve">                      Peak Flow </t>
  </si>
  <si>
    <t>Region:</t>
  </si>
  <si>
    <r>
      <t xml:space="preserve">0.94 </t>
    </r>
    <r>
      <rPr>
        <sz val="10"/>
        <rFont val="Calibri"/>
        <family val="2"/>
      </rPr>
      <t>≤ 1027</t>
    </r>
  </si>
  <si>
    <r>
      <t xml:space="preserve">0.13 </t>
    </r>
    <r>
      <rPr>
        <sz val="10"/>
        <rFont val="Calibri"/>
        <family val="2"/>
      </rPr>
      <t>≤  1766</t>
    </r>
  </si>
  <si>
    <r>
      <t xml:space="preserve">0.34 </t>
    </r>
    <r>
      <rPr>
        <sz val="10"/>
        <rFont val="Calibri"/>
        <family val="2"/>
      </rPr>
      <t>≤  1097</t>
    </r>
  </si>
  <si>
    <r>
      <t xml:space="preserve">0.69 </t>
    </r>
    <r>
      <rPr>
        <sz val="10"/>
        <rFont val="Calibri"/>
        <family val="2"/>
      </rPr>
      <t>≤  1650</t>
    </r>
  </si>
  <si>
    <r>
      <t>Q</t>
    </r>
    <r>
      <rPr>
        <b/>
        <vertAlign val="subscript"/>
        <sz val="11"/>
        <rFont val="Calibri"/>
        <family val="2"/>
        <scheme val="minor"/>
      </rPr>
      <t>p</t>
    </r>
  </si>
  <si>
    <t xml:space="preserve"> From WRIP 88-4041</t>
  </si>
  <si>
    <t xml:space="preserve">   Rural Lagtime (LT) equations</t>
  </si>
  <si>
    <t xml:space="preserve">                Mean Std. Error of Prediction</t>
  </si>
  <si>
    <t xml:space="preserve">  From WRIP 88-4041</t>
  </si>
  <si>
    <t xml:space="preserve">     for hydrograph computatuions</t>
  </si>
  <si>
    <t xml:space="preserve">   for hydrograph computations</t>
  </si>
  <si>
    <t>from  WRIP 88-4041</t>
  </si>
  <si>
    <t xml:space="preserve">   from WRIP 88-4041</t>
  </si>
  <si>
    <t xml:space="preserve">     for hydrograph computations</t>
  </si>
  <si>
    <t>0.13 to 14</t>
  </si>
  <si>
    <r>
      <t>DA Range, mi</t>
    </r>
    <r>
      <rPr>
        <vertAlign val="superscript"/>
        <sz val="10"/>
        <color theme="5" tint="-0.499984740745262"/>
        <rFont val="Calibri"/>
        <family val="2"/>
        <scheme val="minor"/>
      </rPr>
      <t>2</t>
    </r>
  </si>
  <si>
    <r>
      <t>Recommended DA Range 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</si>
  <si>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Note: If  less than 20%, use the rural equations.</t>
  </si>
  <si>
    <r>
      <rPr>
        <i/>
        <sz val="11"/>
        <color theme="1"/>
        <rFont val="Calibri"/>
        <family val="2"/>
        <scheme val="minor"/>
      </rPr>
      <t>Magnitude and Frequency of Floods in Alabama, 2015</t>
    </r>
    <r>
      <rPr>
        <sz val="11"/>
        <color theme="1"/>
        <rFont val="Calibri"/>
        <family val="2"/>
        <scheme val="minor"/>
      </rPr>
      <t>; USGS</t>
    </r>
  </si>
  <si>
    <t>https://pubs.er.usgs.gov/publication/sir20205032</t>
  </si>
  <si>
    <t>This is from 2003. Is to be used for Urban Regression.</t>
  </si>
  <si>
    <t>This is from 2015. Is to be used for Rural Regression.</t>
  </si>
  <si>
    <t>Sandy Creek near Centreville</t>
  </si>
  <si>
    <t>Luxapallila Creek near Fayette</t>
  </si>
  <si>
    <t>0.31  to 5</t>
  </si>
  <si>
    <t>For Flood Region 3 use the rural regression equations.</t>
  </si>
  <si>
    <t xml:space="preserve">2004 Small Rural Regression Equations             </t>
  </si>
  <si>
    <t>2010 Urban Regression Equations</t>
  </si>
  <si>
    <t>Three mile branch at Biltmore Avenue in Montgomery</t>
  </si>
  <si>
    <t xml:space="preserve">   2007 Large Rural Regression Equations</t>
  </si>
  <si>
    <t>Flood Regions Sheet</t>
  </si>
  <si>
    <t>2020  Small rural regression Eq.sheet</t>
  </si>
  <si>
    <t>2010  Urban regression equations sheet</t>
  </si>
  <si>
    <t>Impervious area, IA,  sheet</t>
  </si>
  <si>
    <t>Legend</t>
  </si>
  <si>
    <t>Flood regions sheet</t>
  </si>
  <si>
    <t>10 -85 % Slope sheet</t>
  </si>
  <si>
    <t>Equations Sheet</t>
  </si>
  <si>
    <t xml:space="preserve">2020 Large Rural Regression          </t>
  </si>
  <si>
    <t xml:space="preserve">         Runoff volume sheet</t>
  </si>
  <si>
    <t>Web Soil Survey</t>
  </si>
  <si>
    <t>Kirpich tc sheet</t>
  </si>
  <si>
    <t>Map or plan sheet</t>
  </si>
  <si>
    <t xml:space="preserve">2020  large rural regression </t>
  </si>
  <si>
    <t>Eq. sheet</t>
  </si>
  <si>
    <t xml:space="preserve">Percent Developed, </t>
  </si>
  <si>
    <t xml:space="preserve">2010 Urban Regression </t>
  </si>
  <si>
    <t xml:space="preserve">           Hydrograph sheet</t>
  </si>
  <si>
    <t xml:space="preserve">                    Runoff volume sheet</t>
  </si>
  <si>
    <t>IA sheet</t>
  </si>
  <si>
    <t xml:space="preserve">       Flood regions sheet</t>
  </si>
  <si>
    <t xml:space="preserve">                               Hydrograph sheet</t>
  </si>
  <si>
    <t xml:space="preserve">      Terrain Navigator Pro</t>
  </si>
  <si>
    <t xml:space="preserve">      Plansheet or</t>
  </si>
  <si>
    <t>2020 Small Rural Regression</t>
  </si>
  <si>
    <t>Hydraulic Resources webpage</t>
  </si>
  <si>
    <t xml:space="preserve">Design Bureau </t>
  </si>
  <si>
    <t>.A</t>
  </si>
  <si>
    <t>This is used for the Urban Regression eq.s  LT</t>
  </si>
  <si>
    <t xml:space="preserve">For composite C value </t>
  </si>
  <si>
    <t xml:space="preserve">                            Runoff Volume Sheet</t>
  </si>
  <si>
    <t xml:space="preserve"> P.D. sheet</t>
  </si>
  <si>
    <t xml:space="preserve">Select Rational Method Runoff Value sheet </t>
  </si>
  <si>
    <t xml:space="preserve">             Composite C sheet</t>
  </si>
  <si>
    <t>Big Canoe Creek neaar Gadsden</t>
  </si>
  <si>
    <t>P D  Range (%)</t>
  </si>
  <si>
    <t>P D %</t>
  </si>
  <si>
    <t>P D (%)</t>
  </si>
  <si>
    <t xml:space="preserve"> P D Range  (%)</t>
  </si>
  <si>
    <r>
      <rPr>
        <b/>
        <sz val="12"/>
        <color theme="1"/>
        <rFont val="Calibri"/>
        <family val="2"/>
        <scheme val="minor"/>
      </rPr>
      <t>South</t>
    </r>
    <r>
      <rPr>
        <b/>
        <sz val="11"/>
        <color theme="1"/>
        <rFont val="Calibri"/>
        <family val="2"/>
        <scheme val="minor"/>
      </rPr>
      <t xml:space="preserve"> of fall Llne</t>
    </r>
  </si>
  <si>
    <r>
      <rPr>
        <b/>
        <sz val="12"/>
        <color theme="1"/>
        <rFont val="Calibri"/>
        <family val="2"/>
        <scheme val="minor"/>
      </rPr>
      <t>North</t>
    </r>
    <r>
      <rPr>
        <b/>
        <sz val="11"/>
        <color theme="1"/>
        <rFont val="Calibri"/>
        <family val="2"/>
        <scheme val="minor"/>
      </rPr>
      <t xml:space="preserve"> of  fall Llne</t>
    </r>
  </si>
  <si>
    <t>miles</t>
  </si>
  <si>
    <t>negligable</t>
  </si>
  <si>
    <t>LT (hr) from equations</t>
  </si>
  <si>
    <t>NA</t>
  </si>
  <si>
    <t>0.59 ≤  14</t>
  </si>
  <si>
    <t>10 - 85% S, (ft/mi)</t>
  </si>
  <si>
    <t>1.11 ≤ 14</t>
  </si>
  <si>
    <t>Hydrograph Volume</t>
  </si>
  <si>
    <t>P D</t>
  </si>
  <si>
    <t>Road</t>
  </si>
  <si>
    <t>Cobbs Ford Road</t>
  </si>
  <si>
    <t>Rational</t>
  </si>
  <si>
    <t>Small Rural</t>
  </si>
  <si>
    <t>200 ac</t>
  </si>
  <si>
    <t>Urban</t>
  </si>
  <si>
    <t>43 sq mi</t>
  </si>
  <si>
    <t>Minimum</t>
  </si>
  <si>
    <t>Maximum</t>
  </si>
  <si>
    <t>Equation</t>
  </si>
  <si>
    <t xml:space="preserve">Area </t>
  </si>
  <si>
    <t>5 sq mi</t>
  </si>
  <si>
    <t>Development</t>
  </si>
  <si>
    <t>200+ ac</t>
  </si>
  <si>
    <t>Type</t>
  </si>
  <si>
    <t>DA</t>
  </si>
  <si>
    <t>570.7 ac</t>
  </si>
  <si>
    <t>Walmart</t>
  </si>
  <si>
    <t>Bank</t>
  </si>
  <si>
    <t>Three subdivisions</t>
  </si>
  <si>
    <t>Apartments East</t>
  </si>
  <si>
    <t>Lowe's</t>
  </si>
  <si>
    <t>Car Lot</t>
  </si>
  <si>
    <t>Car Dealer</t>
  </si>
  <si>
    <t>Cobbs Ford</t>
  </si>
  <si>
    <t>Cobbs Ford Lane</t>
  </si>
  <si>
    <t>Rocky Mount Road</t>
  </si>
  <si>
    <t>Street</t>
  </si>
  <si>
    <t>Autauga</t>
  </si>
  <si>
    <t>Fay Branch</t>
  </si>
  <si>
    <t>Example</t>
  </si>
  <si>
    <t xml:space="preserve">Apartments </t>
  </si>
  <si>
    <t>North of Cobbs Ford</t>
  </si>
  <si>
    <t xml:space="preserve">Zelda Place </t>
  </si>
  <si>
    <t>McQueen Smith</t>
  </si>
  <si>
    <t xml:space="preserve">   &lt; 20</t>
  </si>
  <si>
    <t>Total   DA</t>
  </si>
  <si>
    <t xml:space="preserve">Road </t>
  </si>
  <si>
    <r>
      <t>Flow, Q</t>
    </r>
    <r>
      <rPr>
        <b/>
        <vertAlign val="subscript"/>
        <sz val="12"/>
        <color theme="1"/>
        <rFont val="Calibri"/>
        <family val="2"/>
        <scheme val="minor"/>
      </rPr>
      <t>p</t>
    </r>
  </si>
  <si>
    <t>Pervious</t>
  </si>
  <si>
    <t>( 0.31 to 43 for practical use)</t>
  </si>
  <si>
    <t>Old Farm Road</t>
  </si>
  <si>
    <t>&lt;  To deselect leave blank or enter NA</t>
  </si>
  <si>
    <t>&lt;  To deselect leave blank</t>
  </si>
  <si>
    <t xml:space="preserve">&lt;  To deselect leave blank </t>
  </si>
  <si>
    <t>acres, A</t>
  </si>
  <si>
    <t>Coker</t>
  </si>
  <si>
    <t>Jay Creek</t>
  </si>
  <si>
    <t xml:space="preserve"> Hydrograph sheet</t>
  </si>
  <si>
    <t xml:space="preserve">     2020 Large Rural Regression          </t>
  </si>
  <si>
    <t xml:space="preserve">          Equations Sheet</t>
  </si>
  <si>
    <t xml:space="preserve">      Equations Sheet</t>
  </si>
  <si>
    <t xml:space="preserve">    Runoff volume sheet</t>
  </si>
  <si>
    <t>z</t>
  </si>
  <si>
    <t xml:space="preserve">       </t>
  </si>
  <si>
    <t xml:space="preserve">    </t>
  </si>
  <si>
    <t>Developed</t>
  </si>
  <si>
    <t>IA, acres</t>
  </si>
  <si>
    <t>Total IA, acres</t>
  </si>
  <si>
    <t>Total Area, acres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</si>
</sst>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00"/>
    <numFmt numFmtId="165" formatCode="0.00000"/>
    <numFmt numFmtId="166" formatCode="#,##0.0000"/>
    <numFmt numFmtId="167" formatCode="0.000"/>
    <numFmt numFmtId="168" formatCode="##\+##"/>
    <numFmt numFmtId="169" formatCode="#,##0.000"/>
    <numFmt numFmtId="170" formatCode="0.000%"/>
    <numFmt numFmtId="171" formatCode="0.0"/>
    <numFmt numFmtId="172" formatCode="#,##0.000000"/>
    <numFmt numFmtId="173" formatCode="#,##0.00000"/>
    <numFmt numFmtId="174" formatCode="m/d/yyyy;@"/>
    <numFmt numFmtId="175" formatCode="#,##0.0"/>
    <numFmt numFmtId="176" formatCode="0.000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name val="Century Gothic"/>
      <family val="2"/>
    </font>
    <font>
      <b/>
      <sz val="1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sz val="11"/>
      <color rgb="FFFF0000"/>
      <name val="Calibri"/>
      <family val="2"/>
    </font>
    <font>
      <sz val="11"/>
      <color theme="1"/>
      <name val="Century Gothic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525252"/>
      <name val="Calibri"/>
      <family val="2"/>
    </font>
    <font>
      <b/>
      <sz val="14"/>
      <color theme="1"/>
      <name val="Calibri Light"/>
      <family val="2"/>
      <scheme val="major"/>
    </font>
    <font>
      <b/>
      <sz val="2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4"/>
      <color theme="1"/>
      <name val="Century Gothic"/>
      <family val="2"/>
    </font>
    <font>
      <b/>
      <vertAlign val="superscript"/>
      <sz val="11"/>
      <color theme="1"/>
      <name val="Calibri"/>
      <family val="2"/>
    </font>
    <font>
      <b/>
      <sz val="15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1"/>
      <name val="Calibri"/>
      <family val="2"/>
    </font>
    <font>
      <b/>
      <vertAlign val="subscript"/>
      <sz val="11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vertAlign val="superscript"/>
      <sz val="10"/>
      <color theme="5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b/>
      <vertAlign val="subscript"/>
      <sz val="11"/>
      <name val="Calibri"/>
      <family val="2"/>
      <scheme val="minor"/>
    </font>
    <font>
      <b/>
      <sz val="18"/>
      <color theme="1"/>
      <name val="Century Gothic"/>
      <family val="2"/>
    </font>
    <font>
      <b/>
      <vertAlign val="subscript"/>
      <sz val="12"/>
      <color theme="1"/>
      <name val="Calibri"/>
      <family val="2"/>
      <scheme val="minor"/>
    </font>
    <font>
      <sz val="11"/>
      <color rgb="FF0F5149"/>
      <name val="Calibri"/>
      <family val="2"/>
      <scheme val="minor"/>
    </font>
    <font>
      <sz val="11"/>
      <color rgb="FF170D53"/>
      <name val="Calibri"/>
      <family val="2"/>
    </font>
    <font>
      <sz val="11"/>
      <color rgb="FF170D53"/>
      <name val="Calibri"/>
      <family val="2"/>
      <scheme val="minor"/>
    </font>
    <font>
      <sz val="11"/>
      <color rgb="FF060ABA"/>
      <name val="Calibri"/>
      <family val="2"/>
      <scheme val="minor"/>
    </font>
    <font>
      <sz val="11"/>
      <color rgb="FF3366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6" fillId="0" borderId="0" applyFont="0" applyFill="0" applyBorder="0" applyAlignment="0" applyProtection="0"/>
  </cellStyleXfs>
  <cellXfs count="58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0" fillId="0" borderId="0" xfId="0" applyProtection="1"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2" fontId="3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5" fillId="0" borderId="3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8" fillId="0" borderId="0" xfId="0" applyFont="1" applyAlignment="1" applyProtection="1">
      <alignment horizontal="center"/>
      <protection locked="0"/>
    </xf>
    <xf numFmtId="0" fontId="0" fillId="0" borderId="1" xfId="0" applyBorder="1"/>
    <xf numFmtId="1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171" fontId="0" fillId="0" borderId="0" xfId="0" applyNumberFormat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8" fillId="0" borderId="0" xfId="0" applyNumberFormat="1" applyFont="1" applyAlignment="1">
      <alignment horizontal="center"/>
    </xf>
    <xf numFmtId="171" fontId="0" fillId="0" borderId="0" xfId="0" applyNumberFormat="1" applyProtection="1">
      <protection locked="0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169" fontId="0" fillId="0" borderId="0" xfId="0" applyNumberFormat="1" applyProtection="1">
      <protection locked="0"/>
    </xf>
    <xf numFmtId="170" fontId="0" fillId="0" borderId="0" xfId="0" applyNumberFormat="1" applyProtection="1">
      <protection locked="0"/>
    </xf>
    <xf numFmtId="0" fontId="8" fillId="0" borderId="0" xfId="0" applyFont="1" applyAlignment="1">
      <alignment horizontal="left" indent="3"/>
    </xf>
    <xf numFmtId="2" fontId="0" fillId="0" borderId="1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0" fillId="0" borderId="0" xfId="0" applyFont="1"/>
    <xf numFmtId="1" fontId="1" fillId="0" borderId="0" xfId="0" applyNumberFormat="1" applyFont="1" applyAlignment="1">
      <alignment horizontal="left"/>
    </xf>
    <xf numFmtId="171" fontId="0" fillId="0" borderId="4" xfId="0" applyNumberFormat="1" applyBorder="1" applyAlignment="1">
      <alignment horizontal="center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2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9" fillId="0" borderId="1" xfId="0" applyFont="1" applyBorder="1" applyAlignment="1">
      <alignment horizontal="center"/>
    </xf>
    <xf numFmtId="164" fontId="0" fillId="0" borderId="0" xfId="0" applyNumberFormat="1"/>
    <xf numFmtId="164" fontId="9" fillId="0" borderId="0" xfId="0" applyNumberFormat="1" applyFont="1"/>
    <xf numFmtId="2" fontId="9" fillId="0" borderId="0" xfId="0" applyNumberFormat="1" applyFont="1"/>
    <xf numFmtId="165" fontId="9" fillId="0" borderId="0" xfId="0" applyNumberFormat="1" applyFont="1"/>
    <xf numFmtId="164" fontId="20" fillId="0" borderId="0" xfId="0" applyNumberFormat="1" applyFont="1"/>
    <xf numFmtId="2" fontId="20" fillId="0" borderId="0" xfId="0" applyNumberFormat="1" applyFont="1"/>
    <xf numFmtId="14" fontId="0" fillId="0" borderId="0" xfId="0" applyNumberFormat="1" applyAlignment="1">
      <alignment horizontal="left" indent="4"/>
    </xf>
    <xf numFmtId="171" fontId="0" fillId="0" borderId="1" xfId="0" applyNumberFormat="1" applyBorder="1" applyAlignment="1">
      <alignment horizontal="center"/>
    </xf>
    <xf numFmtId="37" fontId="10" fillId="0" borderId="4" xfId="0" applyNumberFormat="1" applyFont="1" applyBorder="1"/>
    <xf numFmtId="0" fontId="22" fillId="0" borderId="0" xfId="0" applyFont="1"/>
    <xf numFmtId="1" fontId="20" fillId="0" borderId="0" xfId="0" applyNumberFormat="1" applyFont="1" applyProtection="1">
      <protection locked="0"/>
    </xf>
    <xf numFmtId="0" fontId="0" fillId="0" borderId="0" xfId="0" applyAlignment="1">
      <alignment horizontal="left" indent="6"/>
    </xf>
    <xf numFmtId="2" fontId="0" fillId="0" borderId="0" xfId="0" applyNumberFormat="1" applyAlignment="1">
      <alignment horizontal="left" indent="1"/>
    </xf>
    <xf numFmtId="14" fontId="0" fillId="0" borderId="0" xfId="0" applyNumberFormat="1"/>
    <xf numFmtId="0" fontId="0" fillId="0" borderId="0" xfId="0" applyAlignment="1">
      <alignment horizontal="right" indent="3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6" fillId="0" borderId="0" xfId="0" applyFont="1"/>
    <xf numFmtId="0" fontId="0" fillId="0" borderId="0" xfId="0" applyAlignment="1">
      <alignment horizontal="left" indent="2"/>
    </xf>
    <xf numFmtId="3" fontId="0" fillId="0" borderId="0" xfId="0" applyNumberFormat="1"/>
    <xf numFmtId="3" fontId="8" fillId="0" borderId="4" xfId="0" applyNumberFormat="1" applyFont="1" applyBorder="1"/>
    <xf numFmtId="165" fontId="0" fillId="0" borderId="0" xfId="0" applyNumberFormat="1" applyAlignment="1">
      <alignment horizontal="center"/>
    </xf>
    <xf numFmtId="165" fontId="9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2" fontId="3" fillId="0" borderId="0" xfId="0" applyNumberFormat="1" applyFont="1"/>
    <xf numFmtId="165" fontId="0" fillId="0" borderId="0" xfId="0" applyNumberFormat="1"/>
    <xf numFmtId="173" fontId="9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2" fillId="0" borderId="0" xfId="0" applyNumberFormat="1" applyFont="1"/>
    <xf numFmtId="2" fontId="1" fillId="0" borderId="0" xfId="0" applyNumberFormat="1" applyFont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/>
    <xf numFmtId="165" fontId="3" fillId="0" borderId="0" xfId="0" applyNumberFormat="1" applyFont="1"/>
    <xf numFmtId="0" fontId="1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166" fontId="3" fillId="3" borderId="3" xfId="0" applyNumberFormat="1" applyFont="1" applyFill="1" applyBorder="1" applyAlignment="1" applyProtection="1">
      <alignment horizontal="center"/>
      <protection locked="0"/>
    </xf>
    <xf numFmtId="1" fontId="0" fillId="4" borderId="0" xfId="0" applyNumberFormat="1" applyFill="1" applyAlignment="1" applyProtection="1">
      <alignment horizontal="center"/>
      <protection locked="0"/>
    </xf>
    <xf numFmtId="2" fontId="0" fillId="4" borderId="0" xfId="0" applyNumberForma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171" fontId="0" fillId="3" borderId="0" xfId="0" applyNumberFormat="1" applyFill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7" fontId="0" fillId="0" borderId="34" xfId="0" applyNumberFormat="1" applyBorder="1" applyAlignment="1">
      <alignment horizontal="center"/>
    </xf>
    <xf numFmtId="167" fontId="0" fillId="0" borderId="35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5" fillId="0" borderId="0" xfId="0" applyNumberFormat="1" applyFont="1"/>
    <xf numFmtId="2" fontId="1" fillId="3" borderId="0" xfId="0" applyNumberFormat="1" applyFont="1" applyFill="1" applyAlignment="1" applyProtection="1">
      <alignment horizontal="right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2" fontId="1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4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right" vertical="center"/>
    </xf>
    <xf numFmtId="2" fontId="1" fillId="3" borderId="0" xfId="0" applyNumberFormat="1" applyFont="1" applyFill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2" fontId="8" fillId="0" borderId="31" xfId="0" applyNumberFormat="1" applyFont="1" applyBorder="1" applyAlignment="1">
      <alignment horizontal="center"/>
    </xf>
    <xf numFmtId="2" fontId="8" fillId="0" borderId="43" xfId="0" applyNumberFormat="1" applyFont="1" applyBorder="1" applyAlignment="1">
      <alignment horizont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2" fontId="8" fillId="0" borderId="0" xfId="0" applyNumberFormat="1" applyFont="1" applyAlignment="1">
      <alignment horizontal="center"/>
    </xf>
    <xf numFmtId="0" fontId="0" fillId="3" borderId="3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40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indent="1"/>
    </xf>
    <xf numFmtId="0" fontId="0" fillId="0" borderId="19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0" fillId="0" borderId="2" xfId="0" applyBorder="1"/>
    <xf numFmtId="17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vertic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 applyProtection="1">
      <protection locked="0"/>
    </xf>
    <xf numFmtId="0" fontId="20" fillId="0" borderId="0" xfId="0" applyFont="1" applyAlignment="1">
      <alignment horizontal="center"/>
    </xf>
    <xf numFmtId="2" fontId="0" fillId="3" borderId="0" xfId="0" applyNumberForma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167" fontId="9" fillId="0" borderId="0" xfId="0" applyNumberFormat="1" applyFont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0" fillId="3" borderId="48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167" fontId="0" fillId="0" borderId="4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3" borderId="0" xfId="0" applyNumberFormat="1" applyFill="1" applyAlignment="1" applyProtection="1">
      <alignment horizontal="center"/>
      <protection locked="0"/>
    </xf>
    <xf numFmtId="2" fontId="0" fillId="0" borderId="4" xfId="0" applyNumberForma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6" fillId="0" borderId="0" xfId="0" applyFont="1"/>
    <xf numFmtId="2" fontId="36" fillId="0" borderId="0" xfId="0" applyNumberFormat="1" applyFont="1"/>
    <xf numFmtId="0" fontId="37" fillId="0" borderId="0" xfId="0" applyFont="1"/>
    <xf numFmtId="0" fontId="28" fillId="0" borderId="33" xfId="0" applyFont="1" applyBorder="1"/>
    <xf numFmtId="2" fontId="2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164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171" fontId="0" fillId="3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/>
    <xf numFmtId="1" fontId="0" fillId="2" borderId="0" xfId="0" applyNumberForma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167" fontId="9" fillId="0" borderId="1" xfId="0" applyNumberFormat="1" applyFont="1" applyBorder="1"/>
    <xf numFmtId="167" fontId="9" fillId="0" borderId="0" xfId="0" applyNumberFormat="1" applyFont="1"/>
    <xf numFmtId="3" fontId="9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9" fillId="0" borderId="0" xfId="0" applyNumberFormat="1" applyFont="1"/>
    <xf numFmtId="2" fontId="0" fillId="0" borderId="1" xfId="0" applyNumberFormat="1" applyBorder="1"/>
    <xf numFmtId="0" fontId="9" fillId="0" borderId="1" xfId="0" applyFont="1" applyBorder="1"/>
    <xf numFmtId="0" fontId="36" fillId="0" borderId="0" xfId="0" applyFont="1" applyAlignment="1">
      <alignment horizontal="center"/>
    </xf>
    <xf numFmtId="0" fontId="40" fillId="0" borderId="0" xfId="0" applyFont="1"/>
    <xf numFmtId="167" fontId="0" fillId="0" borderId="0" xfId="0" applyNumberFormat="1" applyAlignment="1">
      <alignment horizontal="left" indent="1"/>
    </xf>
    <xf numFmtId="164" fontId="0" fillId="0" borderId="3" xfId="0" applyNumberFormat="1" applyBorder="1" applyAlignment="1">
      <alignment horizontal="center"/>
    </xf>
    <xf numFmtId="2" fontId="1" fillId="3" borderId="0" xfId="0" applyNumberFormat="1" applyFont="1" applyFill="1" applyAlignment="1" applyProtection="1">
      <alignment horizontal="left"/>
      <protection locked="0"/>
    </xf>
    <xf numFmtId="2" fontId="1" fillId="3" borderId="0" xfId="0" applyNumberFormat="1" applyFont="1" applyFill="1" applyAlignment="1" applyProtection="1">
      <alignment horizontal="left" vertical="center"/>
      <protection locked="0"/>
    </xf>
    <xf numFmtId="174" fontId="1" fillId="3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Protection="1">
      <protection locked="0"/>
    </xf>
    <xf numFmtId="174" fontId="9" fillId="3" borderId="0" xfId="0" applyNumberFormat="1" applyFont="1" applyFill="1" applyAlignment="1" applyProtection="1">
      <alignment horizontal="left"/>
      <protection locked="0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1" fillId="3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3" borderId="0" xfId="0" applyFont="1" applyFill="1" applyAlignment="1" applyProtection="1">
      <alignment horizontal="right"/>
      <protection locked="0"/>
    </xf>
    <xf numFmtId="2" fontId="2" fillId="3" borderId="0" xfId="0" applyNumberFormat="1" applyFont="1" applyFill="1" applyAlignment="1" applyProtection="1">
      <alignment horizontal="right"/>
      <protection locked="0"/>
    </xf>
    <xf numFmtId="2" fontId="2" fillId="3" borderId="0" xfId="0" applyNumberFormat="1" applyFont="1" applyFill="1" applyAlignment="1" applyProtection="1">
      <alignment horizontal="right" vertical="center"/>
      <protection locked="0"/>
    </xf>
    <xf numFmtId="0" fontId="28" fillId="0" borderId="0" xfId="0" applyFont="1" applyAlignment="1">
      <alignment horizontal="center"/>
    </xf>
    <xf numFmtId="2" fontId="1" fillId="3" borderId="0" xfId="0" applyNumberFormat="1" applyFont="1" applyFill="1" applyAlignment="1" applyProtection="1">
      <alignment vertical="center"/>
      <protection locked="0"/>
    </xf>
    <xf numFmtId="14" fontId="1" fillId="3" borderId="0" xfId="0" applyNumberFormat="1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right"/>
      <protection locked="0"/>
    </xf>
    <xf numFmtId="2" fontId="8" fillId="3" borderId="0" xfId="0" applyNumberFormat="1" applyFont="1" applyFill="1" applyAlignment="1" applyProtection="1">
      <alignment horizontal="right"/>
      <protection locked="0"/>
    </xf>
    <xf numFmtId="2" fontId="8" fillId="3" borderId="0" xfId="0" applyNumberFormat="1" applyFont="1" applyFill="1" applyAlignment="1" applyProtection="1">
      <alignment horizontal="right" vertical="center"/>
      <protection locked="0"/>
    </xf>
    <xf numFmtId="2" fontId="1" fillId="3" borderId="0" xfId="0" applyNumberFormat="1" applyFont="1" applyFill="1" applyProtection="1">
      <protection locked="0"/>
    </xf>
    <xf numFmtId="0" fontId="1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14" fontId="1" fillId="3" borderId="0" xfId="0" applyNumberFormat="1" applyFont="1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horizontal="left"/>
      <protection locked="0"/>
    </xf>
    <xf numFmtId="2" fontId="8" fillId="3" borderId="0" xfId="0" applyNumberFormat="1" applyFont="1" applyFill="1" applyAlignment="1" applyProtection="1">
      <alignment horizontal="left"/>
      <protection locked="0"/>
    </xf>
    <xf numFmtId="2" fontId="8" fillId="3" borderId="0" xfId="0" applyNumberFormat="1" applyFont="1" applyFill="1" applyAlignment="1" applyProtection="1">
      <alignment horizontal="left" vertical="center"/>
      <protection locked="0"/>
    </xf>
    <xf numFmtId="14" fontId="8" fillId="3" borderId="0" xfId="0" applyNumberFormat="1" applyFont="1" applyFill="1" applyAlignment="1" applyProtection="1">
      <alignment horizontal="left" vertical="center"/>
      <protection locked="0"/>
    </xf>
    <xf numFmtId="14" fontId="1" fillId="3" borderId="0" xfId="0" applyNumberFormat="1" applyFont="1" applyFill="1" applyProtection="1">
      <protection locked="0"/>
    </xf>
    <xf numFmtId="165" fontId="27" fillId="0" borderId="0" xfId="0" applyNumberFormat="1" applyFont="1" applyAlignment="1">
      <alignment horizontal="center"/>
    </xf>
    <xf numFmtId="171" fontId="9" fillId="3" borderId="3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0" fillId="0" borderId="39" xfId="0" applyBorder="1" applyAlignment="1">
      <alignment horizontal="center"/>
    </xf>
    <xf numFmtId="0" fontId="0" fillId="0" borderId="39" xfId="0" applyBorder="1"/>
    <xf numFmtId="2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67" fontId="0" fillId="3" borderId="0" xfId="0" applyNumberFormat="1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0" fontId="28" fillId="0" borderId="34" xfId="0" applyFont="1" applyBorder="1"/>
    <xf numFmtId="0" fontId="28" fillId="0" borderId="35" xfId="0" applyFont="1" applyBorder="1"/>
    <xf numFmtId="1" fontId="0" fillId="0" borderId="0" xfId="0" applyNumberFormat="1"/>
    <xf numFmtId="0" fontId="26" fillId="0" borderId="0" xfId="0" applyFont="1" applyAlignment="1">
      <alignment horizontal="left"/>
    </xf>
    <xf numFmtId="174" fontId="1" fillId="0" borderId="0" xfId="0" applyNumberFormat="1" applyFont="1" applyAlignment="1">
      <alignment horizontal="left"/>
    </xf>
    <xf numFmtId="167" fontId="21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171" fontId="0" fillId="0" borderId="0" xfId="0" applyNumberFormat="1"/>
    <xf numFmtId="1" fontId="20" fillId="0" borderId="0" xfId="0" applyNumberFormat="1" applyFont="1"/>
    <xf numFmtId="2" fontId="0" fillId="0" borderId="0" xfId="0" applyNumberFormat="1" applyAlignment="1">
      <alignment horizontal="right"/>
    </xf>
    <xf numFmtId="0" fontId="41" fillId="0" borderId="0" xfId="0" applyFont="1"/>
    <xf numFmtId="171" fontId="41" fillId="0" borderId="0" xfId="0" applyNumberFormat="1" applyFont="1"/>
    <xf numFmtId="0" fontId="28" fillId="0" borderId="0" xfId="0" applyFont="1"/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1"/>
    </xf>
    <xf numFmtId="0" fontId="42" fillId="0" borderId="0" xfId="0" applyFont="1"/>
    <xf numFmtId="0" fontId="42" fillId="3" borderId="0" xfId="0" applyFont="1" applyFill="1" applyAlignment="1" applyProtection="1">
      <alignment horizontal="left"/>
      <protection locked="0"/>
    </xf>
    <xf numFmtId="0" fontId="26" fillId="3" borderId="0" xfId="0" applyFont="1" applyFill="1" applyProtection="1">
      <protection locked="0"/>
    </xf>
    <xf numFmtId="0" fontId="26" fillId="3" borderId="0" xfId="0" applyFont="1" applyFill="1" applyAlignment="1" applyProtection="1">
      <alignment horizontal="left"/>
      <protection locked="0"/>
    </xf>
    <xf numFmtId="167" fontId="0" fillId="0" borderId="0" xfId="0" applyNumberFormat="1" applyAlignment="1">
      <alignment horizontal="left" vertical="center"/>
    </xf>
    <xf numFmtId="168" fontId="0" fillId="3" borderId="0" xfId="0" applyNumberFormat="1" applyFill="1" applyAlignment="1" applyProtection="1">
      <alignment horizontal="left"/>
      <protection locked="0"/>
    </xf>
    <xf numFmtId="0" fontId="42" fillId="0" borderId="0" xfId="0" applyFont="1" applyAlignment="1">
      <alignment horizontal="left"/>
    </xf>
    <xf numFmtId="1" fontId="0" fillId="4" borderId="0" xfId="0" applyNumberFormat="1" applyFill="1" applyProtection="1">
      <protection locked="0"/>
    </xf>
    <xf numFmtId="0" fontId="29" fillId="0" borderId="0" xfId="0" applyFont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2" fontId="0" fillId="2" borderId="0" xfId="0" applyNumberFormat="1" applyFill="1" applyProtection="1">
      <protection locked="0"/>
    </xf>
    <xf numFmtId="2" fontId="23" fillId="0" borderId="0" xfId="0" applyNumberFormat="1" applyFont="1" applyProtection="1">
      <protection locked="0"/>
    </xf>
    <xf numFmtId="2" fontId="23" fillId="0" borderId="0" xfId="0" applyNumberFormat="1" applyFont="1" applyAlignment="1" applyProtection="1">
      <alignment horizontal="center"/>
      <protection locked="0"/>
    </xf>
    <xf numFmtId="174" fontId="3" fillId="3" borderId="19" xfId="0" applyNumberFormat="1" applyFont="1" applyFill="1" applyBorder="1" applyProtection="1">
      <protection locked="0"/>
    </xf>
    <xf numFmtId="174" fontId="3" fillId="3" borderId="20" xfId="0" applyNumberFormat="1" applyFont="1" applyFill="1" applyBorder="1" applyProtection="1">
      <protection locked="0"/>
    </xf>
    <xf numFmtId="167" fontId="0" fillId="3" borderId="3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67" fontId="0" fillId="3" borderId="15" xfId="0" applyNumberFormat="1" applyFill="1" applyBorder="1" applyAlignment="1" applyProtection="1">
      <alignment horizontal="center"/>
      <protection locked="0"/>
    </xf>
    <xf numFmtId="2" fontId="1" fillId="3" borderId="20" xfId="0" applyNumberFormat="1" applyFon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2" fontId="1" fillId="3" borderId="32" xfId="0" applyNumberFormat="1" applyFont="1" applyFill="1" applyBorder="1" applyAlignment="1" applyProtection="1">
      <alignment horizontal="center"/>
      <protection locked="0"/>
    </xf>
    <xf numFmtId="0" fontId="9" fillId="3" borderId="34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31" fillId="0" borderId="0" xfId="0" applyFont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2" fontId="0" fillId="3" borderId="34" xfId="0" applyNumberFormat="1" applyFill="1" applyBorder="1" applyAlignment="1" applyProtection="1">
      <alignment horizontal="center"/>
      <protection locked="0"/>
    </xf>
    <xf numFmtId="2" fontId="0" fillId="3" borderId="33" xfId="0" applyNumberFormat="1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174" fontId="3" fillId="3" borderId="19" xfId="0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26" fillId="3" borderId="38" xfId="0" applyFont="1" applyFill="1" applyBorder="1" applyAlignment="1" applyProtection="1">
      <alignment horizontal="center"/>
      <protection locked="0"/>
    </xf>
    <xf numFmtId="167" fontId="9" fillId="0" borderId="0" xfId="0" applyNumberFormat="1" applyFont="1" applyProtection="1">
      <protection locked="0"/>
    </xf>
    <xf numFmtId="0" fontId="26" fillId="3" borderId="3" xfId="0" applyFont="1" applyFill="1" applyBorder="1" applyAlignment="1" applyProtection="1">
      <alignment horizontal="center"/>
      <protection locked="0"/>
    </xf>
    <xf numFmtId="0" fontId="0" fillId="0" borderId="54" xfId="0" applyBorder="1" applyAlignment="1">
      <alignment horizontal="center"/>
    </xf>
    <xf numFmtId="0" fontId="0" fillId="0" borderId="55" xfId="0" applyBorder="1"/>
    <xf numFmtId="168" fontId="0" fillId="3" borderId="19" xfId="0" applyNumberFormat="1" applyFill="1" applyBorder="1" applyAlignment="1" applyProtection="1">
      <alignment horizontal="left"/>
      <protection locked="0"/>
    </xf>
    <xf numFmtId="0" fontId="3" fillId="0" borderId="20" xfId="0" applyFont="1" applyBorder="1" applyAlignment="1">
      <alignment horizontal="center" vertical="center"/>
    </xf>
    <xf numFmtId="0" fontId="0" fillId="3" borderId="18" xfId="0" applyFill="1" applyBorder="1" applyProtection="1"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6" fontId="3" fillId="3" borderId="20" xfId="0" applyNumberFormat="1" applyFont="1" applyFill="1" applyBorder="1" applyAlignment="1" applyProtection="1">
      <alignment horizontal="center"/>
      <protection locked="0"/>
    </xf>
    <xf numFmtId="14" fontId="0" fillId="3" borderId="19" xfId="0" applyNumberFormat="1" applyFill="1" applyBorder="1" applyAlignment="1" applyProtection="1">
      <alignment horizontal="left"/>
      <protection locked="0"/>
    </xf>
    <xf numFmtId="167" fontId="0" fillId="3" borderId="37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0" fontId="0" fillId="3" borderId="52" xfId="0" applyFill="1" applyBorder="1" applyAlignment="1" applyProtection="1">
      <alignment horizontal="center"/>
      <protection locked="0"/>
    </xf>
    <xf numFmtId="167" fontId="0" fillId="3" borderId="53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1" fontId="0" fillId="3" borderId="56" xfId="0" applyNumberFormat="1" applyFill="1" applyBorder="1" applyAlignment="1" applyProtection="1">
      <alignment horizontal="center"/>
      <protection locked="0"/>
    </xf>
    <xf numFmtId="1" fontId="0" fillId="3" borderId="34" xfId="0" applyNumberFormat="1" applyFill="1" applyBorder="1" applyAlignment="1" applyProtection="1">
      <alignment horizontal="center"/>
      <protection locked="0"/>
    </xf>
    <xf numFmtId="167" fontId="0" fillId="3" borderId="50" xfId="0" applyNumberForma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47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47" xfId="0" applyBorder="1"/>
    <xf numFmtId="167" fontId="0" fillId="3" borderId="34" xfId="0" applyNumberFormat="1" applyFill="1" applyBorder="1" applyAlignment="1" applyProtection="1">
      <alignment horizontal="center"/>
      <protection locked="0"/>
    </xf>
    <xf numFmtId="1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0" fontId="3" fillId="3" borderId="0" xfId="0" applyFont="1" applyFill="1" applyProtection="1">
      <protection locked="0"/>
    </xf>
    <xf numFmtId="14" fontId="3" fillId="3" borderId="0" xfId="0" applyNumberFormat="1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vertical="center"/>
      <protection locked="0"/>
    </xf>
    <xf numFmtId="0" fontId="10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/>
    </xf>
    <xf numFmtId="2" fontId="0" fillId="0" borderId="0" xfId="0" applyNumberFormat="1" applyAlignment="1" applyProtection="1">
      <alignment horizontal="center" vertical="center"/>
      <protection locked="0"/>
    </xf>
    <xf numFmtId="9" fontId="1" fillId="0" borderId="1" xfId="1" applyFont="1" applyBorder="1" applyAlignment="1" applyProtection="1">
      <alignment horizontal="center"/>
    </xf>
    <xf numFmtId="171" fontId="0" fillId="0" borderId="0" xfId="1" applyNumberFormat="1" applyFont="1" applyAlignment="1" applyProtection="1">
      <alignment horizontal="center"/>
    </xf>
    <xf numFmtId="2" fontId="0" fillId="0" borderId="0" xfId="0" applyNumberFormat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2" fontId="50" fillId="0" borderId="2" xfId="0" applyNumberFormat="1" applyFont="1" applyBorder="1" applyAlignment="1">
      <alignment horizontal="right"/>
    </xf>
    <xf numFmtId="1" fontId="50" fillId="0" borderId="1" xfId="0" applyNumberFormat="1" applyFont="1" applyBorder="1" applyAlignment="1">
      <alignment horizontal="center"/>
    </xf>
    <xf numFmtId="2" fontId="50" fillId="0" borderId="1" xfId="0" applyNumberFormat="1" applyFont="1" applyBorder="1" applyAlignment="1">
      <alignment horizontal="right"/>
    </xf>
    <xf numFmtId="0" fontId="3" fillId="3" borderId="19" xfId="0" applyFont="1" applyFill="1" applyBorder="1" applyProtection="1">
      <protection locked="0"/>
    </xf>
    <xf numFmtId="14" fontId="3" fillId="3" borderId="19" xfId="0" applyNumberFormat="1" applyFont="1" applyFill="1" applyBorder="1" applyAlignment="1" applyProtection="1">
      <alignment horizontal="left"/>
      <protection locked="0"/>
    </xf>
    <xf numFmtId="1" fontId="22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right"/>
    </xf>
    <xf numFmtId="1" fontId="41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28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49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9" fontId="1" fillId="0" borderId="0" xfId="1" applyFont="1" applyFill="1" applyBorder="1" applyAlignment="1" applyProtection="1">
      <alignment horizontal="center"/>
      <protection locked="0"/>
    </xf>
    <xf numFmtId="1" fontId="0" fillId="0" borderId="43" xfId="0" applyNumberFormat="1" applyBorder="1"/>
    <xf numFmtId="2" fontId="9" fillId="0" borderId="1" xfId="0" applyNumberFormat="1" applyFont="1" applyBorder="1" applyAlignment="1">
      <alignment horizontal="center"/>
    </xf>
    <xf numFmtId="0" fontId="48" fillId="0" borderId="0" xfId="0" applyFont="1" applyAlignment="1">
      <alignment horizontal="left"/>
    </xf>
    <xf numFmtId="0" fontId="8" fillId="0" borderId="0" xfId="0" applyFont="1" applyAlignment="1" applyProtection="1">
      <alignment horizontal="left" inden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2" fontId="0" fillId="0" borderId="0" xfId="0" applyNumberFormat="1" applyAlignment="1" applyProtection="1">
      <alignment horizontal="left" indent="1"/>
      <protection locked="0"/>
    </xf>
    <xf numFmtId="1" fontId="50" fillId="0" borderId="1" xfId="0" applyNumberFormat="1" applyFont="1" applyBorder="1" applyAlignment="1">
      <alignment horizontal="left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17" xfId="0" applyFont="1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19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0" fontId="53" fillId="0" borderId="0" xfId="0" applyFont="1"/>
    <xf numFmtId="0" fontId="15" fillId="0" borderId="0" xfId="0" applyFont="1"/>
    <xf numFmtId="0" fontId="48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47" xfId="0" applyFont="1" applyBorder="1" applyAlignment="1">
      <alignment horizontal="left"/>
    </xf>
    <xf numFmtId="0" fontId="0" fillId="0" borderId="32" xfId="0" applyBorder="1"/>
    <xf numFmtId="171" fontId="48" fillId="3" borderId="0" xfId="0" applyNumberFormat="1" applyFont="1" applyFill="1" applyAlignment="1" applyProtection="1">
      <alignment horizontal="center"/>
      <protection locked="0"/>
    </xf>
    <xf numFmtId="0" fontId="48" fillId="0" borderId="0" xfId="0" applyFont="1" applyAlignment="1">
      <alignment horizontal="left" indent="3"/>
    </xf>
    <xf numFmtId="0" fontId="48" fillId="3" borderId="0" xfId="0" applyFont="1" applyFill="1" applyAlignment="1" applyProtection="1">
      <alignment horizontal="center"/>
      <protection locked="0"/>
    </xf>
    <xf numFmtId="1" fontId="40" fillId="0" borderId="0" xfId="0" applyNumberFormat="1" applyFont="1" applyAlignment="1">
      <alignment horizontal="center"/>
    </xf>
    <xf numFmtId="2" fontId="40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4" fontId="0" fillId="0" borderId="0" xfId="0" applyNumberFormat="1" applyAlignment="1" applyProtection="1">
      <alignment horizontal="center"/>
      <protection locked="0"/>
    </xf>
    <xf numFmtId="171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2" fontId="23" fillId="0" borderId="0" xfId="0" applyNumberFormat="1" applyFont="1"/>
    <xf numFmtId="0" fontId="0" fillId="0" borderId="0" xfId="0" applyAlignment="1" applyProtection="1">
      <alignment horizontal="left" indent="1"/>
      <protection locked="0"/>
    </xf>
    <xf numFmtId="2" fontId="0" fillId="0" borderId="0" xfId="0" applyNumberFormat="1" applyAlignment="1">
      <alignment vertical="center"/>
    </xf>
    <xf numFmtId="4" fontId="0" fillId="3" borderId="6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7" fontId="0" fillId="0" borderId="0" xfId="0" applyNumberFormat="1" applyAlignment="1" applyProtection="1">
      <alignment horizontal="left" vertical="center"/>
      <protection locked="0"/>
    </xf>
    <xf numFmtId="175" fontId="0" fillId="3" borderId="16" xfId="0" applyNumberFormat="1" applyFill="1" applyBorder="1" applyAlignment="1" applyProtection="1">
      <alignment horizontal="center"/>
      <protection locked="0"/>
    </xf>
    <xf numFmtId="175" fontId="0" fillId="3" borderId="3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 vertical="center" wrapText="1"/>
    </xf>
    <xf numFmtId="0" fontId="0" fillId="3" borderId="57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3" xfId="0" applyNumberFormat="1" applyFill="1" applyBorder="1" applyAlignment="1" applyProtection="1">
      <alignment horizontal="center"/>
      <protection locked="0"/>
    </xf>
    <xf numFmtId="175" fontId="0" fillId="3" borderId="25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175" fontId="0" fillId="3" borderId="30" xfId="0" applyNumberFormat="1" applyFill="1" applyBorder="1" applyAlignment="1" applyProtection="1">
      <alignment horizontal="center"/>
      <protection locked="0"/>
    </xf>
    <xf numFmtId="175" fontId="0" fillId="3" borderId="58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right"/>
      <protection locked="0"/>
    </xf>
    <xf numFmtId="0" fontId="40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" fontId="48" fillId="0" borderId="0" xfId="0" applyNumberFormat="1" applyFont="1" applyAlignment="1">
      <alignment horizontal="center"/>
    </xf>
    <xf numFmtId="1" fontId="48" fillId="0" borderId="1" xfId="0" applyNumberFormat="1" applyFont="1" applyBorder="1" applyAlignment="1">
      <alignment horizontal="center" vertical="center"/>
    </xf>
    <xf numFmtId="171" fontId="8" fillId="0" borderId="4" xfId="0" applyNumberFormat="1" applyFont="1" applyBorder="1" applyAlignment="1">
      <alignment horizontal="center" vertical="center"/>
    </xf>
    <xf numFmtId="2" fontId="10" fillId="0" borderId="51" xfId="0" applyNumberFormat="1" applyFont="1" applyBorder="1" applyAlignment="1">
      <alignment horizontal="center"/>
    </xf>
    <xf numFmtId="14" fontId="0" fillId="0" borderId="0" xfId="0" applyNumberFormat="1" applyAlignment="1" applyProtection="1">
      <alignment horizontal="left" indent="4"/>
      <protection locked="0"/>
    </xf>
    <xf numFmtId="0" fontId="20" fillId="0" borderId="0" xfId="0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7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indent="3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0" fontId="55" fillId="0" borderId="0" xfId="0" applyFont="1" applyProtection="1">
      <protection locked="0"/>
    </xf>
    <xf numFmtId="2" fontId="55" fillId="0" borderId="0" xfId="0" applyNumberFormat="1" applyFont="1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169" fontId="55" fillId="0" borderId="0" xfId="0" applyNumberFormat="1" applyFont="1" applyProtection="1">
      <protection locked="0"/>
    </xf>
    <xf numFmtId="167" fontId="0" fillId="0" borderId="15" xfId="0" applyNumberFormat="1" applyBorder="1" applyAlignment="1">
      <alignment horizontal="center"/>
    </xf>
    <xf numFmtId="0" fontId="0" fillId="0" borderId="59" xfId="0" applyBorder="1"/>
    <xf numFmtId="0" fontId="56" fillId="0" borderId="47" xfId="0" applyFont="1" applyBorder="1" applyAlignment="1">
      <alignment horizontal="left"/>
    </xf>
    <xf numFmtId="0" fontId="57" fillId="0" borderId="47" xfId="0" applyFont="1" applyBorder="1"/>
    <xf numFmtId="0" fontId="57" fillId="0" borderId="29" xfId="0" applyFont="1" applyBorder="1"/>
    <xf numFmtId="1" fontId="57" fillId="0" borderId="3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76" fontId="9" fillId="0" borderId="0" xfId="0" applyNumberFormat="1" applyFont="1"/>
    <xf numFmtId="0" fontId="0" fillId="0" borderId="24" xfId="0" applyBorder="1" applyAlignment="1">
      <alignment horizontal="center" vertical="center"/>
    </xf>
    <xf numFmtId="0" fontId="12" fillId="0" borderId="0" xfId="0" applyFont="1" applyAlignment="1">
      <alignment horizontal="center"/>
    </xf>
    <xf numFmtId="167" fontId="55" fillId="0" borderId="0" xfId="0" applyNumberFormat="1" applyFont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right"/>
      <protection locked="0"/>
    </xf>
    <xf numFmtId="0" fontId="0" fillId="0" borderId="34" xfId="0" applyBorder="1" applyProtection="1">
      <protection locked="0"/>
    </xf>
    <xf numFmtId="2" fontId="0" fillId="0" borderId="34" xfId="0" applyNumberForma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right"/>
      <protection locked="0"/>
    </xf>
    <xf numFmtId="4" fontId="0" fillId="0" borderId="0" xfId="0" applyNumberFormat="1"/>
    <xf numFmtId="10" fontId="0" fillId="0" borderId="4" xfId="0" applyNumberFormat="1" applyBorder="1"/>
    <xf numFmtId="176" fontId="58" fillId="0" borderId="0" xfId="0" applyNumberFormat="1" applyFont="1"/>
    <xf numFmtId="2" fontId="58" fillId="0" borderId="0" xfId="0" applyNumberFormat="1" applyFont="1" applyAlignment="1">
      <alignment horizontal="center" vertical="center"/>
    </xf>
    <xf numFmtId="2" fontId="58" fillId="0" borderId="0" xfId="0" applyNumberFormat="1" applyFont="1" applyAlignment="1">
      <alignment horizontal="center"/>
    </xf>
    <xf numFmtId="2" fontId="58" fillId="0" borderId="1" xfId="0" applyNumberFormat="1" applyFont="1" applyBorder="1" applyAlignment="1">
      <alignment horizontal="center" vertical="center"/>
    </xf>
    <xf numFmtId="0" fontId="58" fillId="3" borderId="0" xfId="0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2" fontId="59" fillId="0" borderId="0" xfId="0" applyNumberFormat="1" applyFont="1" applyAlignment="1">
      <alignment horizontal="center"/>
    </xf>
    <xf numFmtId="0" fontId="59" fillId="3" borderId="0" xfId="0" applyFont="1" applyFill="1" applyAlignment="1" applyProtection="1">
      <alignment horizontal="center"/>
      <protection locked="0"/>
    </xf>
    <xf numFmtId="2" fontId="59" fillId="0" borderId="0" xfId="0" applyNumberFormat="1" applyFont="1" applyAlignment="1">
      <alignment horizontal="center" vertical="center"/>
    </xf>
    <xf numFmtId="2" fontId="59" fillId="0" borderId="1" xfId="0" applyNumberFormat="1" applyFont="1" applyBorder="1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54" xfId="0" applyBorder="1" applyAlignment="1">
      <alignment horizontal="left"/>
    </xf>
    <xf numFmtId="0" fontId="3" fillId="0" borderId="20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0" xfId="0" applyFont="1" applyAlignment="1">
      <alignment horizontal="left"/>
    </xf>
    <xf numFmtId="2" fontId="0" fillId="0" borderId="49" xfId="0" applyNumberFormat="1" applyBorder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20" xfId="0" applyFont="1" applyFill="1" applyBorder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0" fontId="3" fillId="3" borderId="3" xfId="0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3" borderId="17" xfId="0" applyFont="1" applyFill="1" applyBorder="1" applyAlignment="1" applyProtection="1">
      <alignment horizontal="left"/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2" fontId="2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2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" fillId="3" borderId="19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366FF"/>
      <color rgb="FF060ABA"/>
      <color rgb="FF170D53"/>
      <color rgb="FF0F5149"/>
      <color rgb="FFFFFF0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Hydrograph</a:t>
            </a:r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Hydrograph!$G$6:$G$49</c:f>
              <c:numCache>
                <c:formatCode>0.000</c:formatCode>
                <c:ptCount val="44"/>
                <c:pt idx="0">
                  <c:v>0.54249999999999998</c:v>
                </c:pt>
                <c:pt idx="1">
                  <c:v>0.65099999999999991</c:v>
                </c:pt>
                <c:pt idx="2">
                  <c:v>0.75949999999999995</c:v>
                </c:pt>
                <c:pt idx="3">
                  <c:v>0.86799999999999999</c:v>
                </c:pt>
                <c:pt idx="4">
                  <c:v>0.97650000000000003</c:v>
                </c:pt>
                <c:pt idx="5">
                  <c:v>1.085</c:v>
                </c:pt>
                <c:pt idx="6">
                  <c:v>1.1935</c:v>
                </c:pt>
                <c:pt idx="7">
                  <c:v>1.3019999999999998</c:v>
                </c:pt>
                <c:pt idx="8">
                  <c:v>1.4105000000000001</c:v>
                </c:pt>
                <c:pt idx="9">
                  <c:v>1.5189999999999999</c:v>
                </c:pt>
                <c:pt idx="10">
                  <c:v>1.6274999999999999</c:v>
                </c:pt>
                <c:pt idx="11">
                  <c:v>1.736</c:v>
                </c:pt>
                <c:pt idx="12">
                  <c:v>1.8444999999999998</c:v>
                </c:pt>
                <c:pt idx="13">
                  <c:v>1.9530000000000001</c:v>
                </c:pt>
                <c:pt idx="14">
                  <c:v>2.0614999999999997</c:v>
                </c:pt>
                <c:pt idx="15">
                  <c:v>2.17</c:v>
                </c:pt>
                <c:pt idx="16">
                  <c:v>2.2785000000000002</c:v>
                </c:pt>
                <c:pt idx="17">
                  <c:v>2.387</c:v>
                </c:pt>
                <c:pt idx="18">
                  <c:v>2.4954999999999998</c:v>
                </c:pt>
                <c:pt idx="19">
                  <c:v>2.6039999999999996</c:v>
                </c:pt>
                <c:pt idx="20">
                  <c:v>2.7124999999999999</c:v>
                </c:pt>
                <c:pt idx="21">
                  <c:v>2.8210000000000002</c:v>
                </c:pt>
                <c:pt idx="22">
                  <c:v>2.9295</c:v>
                </c:pt>
                <c:pt idx="23">
                  <c:v>3.0379999999999998</c:v>
                </c:pt>
                <c:pt idx="24">
                  <c:v>3.1464999999999996</c:v>
                </c:pt>
                <c:pt idx="25">
                  <c:v>3.2549999999999999</c:v>
                </c:pt>
                <c:pt idx="26">
                  <c:v>3.3635000000000002</c:v>
                </c:pt>
                <c:pt idx="27">
                  <c:v>3.472</c:v>
                </c:pt>
                <c:pt idx="28">
                  <c:v>3.5804999999999998</c:v>
                </c:pt>
                <c:pt idx="29">
                  <c:v>3.6889999999999996</c:v>
                </c:pt>
                <c:pt idx="30">
                  <c:v>3.7974999999999999</c:v>
                </c:pt>
                <c:pt idx="31">
                  <c:v>3.9060000000000001</c:v>
                </c:pt>
                <c:pt idx="32">
                  <c:v>4.0145</c:v>
                </c:pt>
                <c:pt idx="33">
                  <c:v>4.1229999999999993</c:v>
                </c:pt>
                <c:pt idx="34">
                  <c:v>4.2314999999999996</c:v>
                </c:pt>
                <c:pt idx="35">
                  <c:v>4.34</c:v>
                </c:pt>
                <c:pt idx="36">
                  <c:v>4.4484999999999992</c:v>
                </c:pt>
                <c:pt idx="37">
                  <c:v>4.5570000000000004</c:v>
                </c:pt>
                <c:pt idx="38">
                  <c:v>4.6654999999999998</c:v>
                </c:pt>
                <c:pt idx="39">
                  <c:v>4.774</c:v>
                </c:pt>
                <c:pt idx="40">
                  <c:v>4.8825000000000003</c:v>
                </c:pt>
                <c:pt idx="41">
                  <c:v>4.9909999999999997</c:v>
                </c:pt>
                <c:pt idx="42">
                  <c:v>5.0994999999999999</c:v>
                </c:pt>
                <c:pt idx="43">
                  <c:v>5.2079999999999993</c:v>
                </c:pt>
              </c:numCache>
            </c:numRef>
          </c:cat>
          <c:val>
            <c:numRef>
              <c:f>Hydrograph!$H$6:$H$49</c:f>
              <c:numCache>
                <c:formatCode>0.00</c:formatCode>
                <c:ptCount val="44"/>
                <c:pt idx="0">
                  <c:v>116.75999999999999</c:v>
                </c:pt>
                <c:pt idx="1">
                  <c:v>155.68</c:v>
                </c:pt>
                <c:pt idx="2">
                  <c:v>204.32999999999998</c:v>
                </c:pt>
                <c:pt idx="3">
                  <c:v>252.98000000000002</c:v>
                </c:pt>
                <c:pt idx="4">
                  <c:v>321.09000000000003</c:v>
                </c:pt>
                <c:pt idx="5">
                  <c:v>389.20000000000005</c:v>
                </c:pt>
                <c:pt idx="6">
                  <c:v>476.77</c:v>
                </c:pt>
                <c:pt idx="7">
                  <c:v>564.33999999999992</c:v>
                </c:pt>
                <c:pt idx="8">
                  <c:v>651.91000000000008</c:v>
                </c:pt>
                <c:pt idx="9">
                  <c:v>739.48</c:v>
                </c:pt>
                <c:pt idx="10">
                  <c:v>817.31999999999994</c:v>
                </c:pt>
                <c:pt idx="11">
                  <c:v>875.7</c:v>
                </c:pt>
                <c:pt idx="12">
                  <c:v>924.34999999999991</c:v>
                </c:pt>
                <c:pt idx="13">
                  <c:v>953.54</c:v>
                </c:pt>
                <c:pt idx="14">
                  <c:v>973</c:v>
                </c:pt>
                <c:pt idx="15">
                  <c:v>963.27</c:v>
                </c:pt>
                <c:pt idx="16">
                  <c:v>934.07999999999993</c:v>
                </c:pt>
                <c:pt idx="17">
                  <c:v>895.16000000000008</c:v>
                </c:pt>
                <c:pt idx="18">
                  <c:v>836.78</c:v>
                </c:pt>
                <c:pt idx="19">
                  <c:v>778.40000000000009</c:v>
                </c:pt>
                <c:pt idx="20">
                  <c:v>720.02</c:v>
                </c:pt>
                <c:pt idx="21">
                  <c:v>661.6400000000001</c:v>
                </c:pt>
                <c:pt idx="22">
                  <c:v>603.26</c:v>
                </c:pt>
                <c:pt idx="23">
                  <c:v>544.88</c:v>
                </c:pt>
                <c:pt idx="24">
                  <c:v>496.23</c:v>
                </c:pt>
                <c:pt idx="25">
                  <c:v>457.31</c:v>
                </c:pt>
                <c:pt idx="26">
                  <c:v>418.39</c:v>
                </c:pt>
                <c:pt idx="27">
                  <c:v>379.47</c:v>
                </c:pt>
                <c:pt idx="28">
                  <c:v>350.28</c:v>
                </c:pt>
                <c:pt idx="29">
                  <c:v>321.09000000000003</c:v>
                </c:pt>
                <c:pt idx="30">
                  <c:v>291.89999999999998</c:v>
                </c:pt>
                <c:pt idx="31">
                  <c:v>272.44</c:v>
                </c:pt>
                <c:pt idx="32">
                  <c:v>252.98000000000002</c:v>
                </c:pt>
                <c:pt idx="33">
                  <c:v>233.51999999999998</c:v>
                </c:pt>
                <c:pt idx="34">
                  <c:v>214.06</c:v>
                </c:pt>
                <c:pt idx="35">
                  <c:v>194.60000000000002</c:v>
                </c:pt>
                <c:pt idx="36">
                  <c:v>184.87</c:v>
                </c:pt>
                <c:pt idx="37">
                  <c:v>165.41000000000003</c:v>
                </c:pt>
                <c:pt idx="38">
                  <c:v>155.68</c:v>
                </c:pt>
                <c:pt idx="39">
                  <c:v>145.94999999999999</c:v>
                </c:pt>
                <c:pt idx="40">
                  <c:v>136.22</c:v>
                </c:pt>
                <c:pt idx="41">
                  <c:v>126.49000000000001</c:v>
                </c:pt>
                <c:pt idx="42">
                  <c:v>116.75999999999999</c:v>
                </c:pt>
                <c:pt idx="43">
                  <c:v>107.03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4-4F09-AB67-F82B07470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249960"/>
        <c:axId val="233253880"/>
      </c:lineChart>
      <c:catAx>
        <c:axId val="23324996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Time, hrs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253880"/>
        <c:crosses val="autoZero"/>
        <c:auto val="1"/>
        <c:lblAlgn val="ctr"/>
        <c:lblOffset val="100"/>
        <c:noMultiLvlLbl val="0"/>
      </c:catAx>
      <c:valAx>
        <c:axId val="233253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5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Flow, cfs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249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gif"/><Relationship Id="rId1" Type="http://schemas.openxmlformats.org/officeDocument/2006/relationships/image" Target="../media/image5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12</xdr:row>
      <xdr:rowOff>177800</xdr:rowOff>
    </xdr:from>
    <xdr:to>
      <xdr:col>9</xdr:col>
      <xdr:colOff>457200</xdr:colOff>
      <xdr:row>17</xdr:row>
      <xdr:rowOff>40217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19675" y="2625725"/>
          <a:ext cx="1009650" cy="814917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aseline="0"/>
        </a:p>
        <a:p>
          <a:pPr algn="l"/>
          <a:r>
            <a:rPr lang="en-US" sz="1100" baseline="0"/>
            <a:t>Calculate PD</a:t>
          </a:r>
        </a:p>
        <a:p>
          <a:pPr algn="l"/>
          <a:endParaRPr lang="en-US" sz="1100"/>
        </a:p>
        <a:p>
          <a:pPr algn="l"/>
          <a:endParaRPr lang="en-US" sz="1100"/>
        </a:p>
      </xdr:txBody>
    </xdr:sp>
    <xdr:clientData/>
  </xdr:twoCellAnchor>
  <xdr:twoCellAnchor>
    <xdr:from>
      <xdr:col>13</xdr:col>
      <xdr:colOff>527050</xdr:colOff>
      <xdr:row>4</xdr:row>
      <xdr:rowOff>104774</xdr:rowOff>
    </xdr:from>
    <xdr:to>
      <xdr:col>17</xdr:col>
      <xdr:colOff>285750</xdr:colOff>
      <xdr:row>8</xdr:row>
      <xdr:rowOff>104775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575675" y="971549"/>
          <a:ext cx="2235200" cy="781051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  <a:p>
          <a:pPr algn="l"/>
          <a:r>
            <a:rPr lang="en-US" sz="1100"/>
            <a:t>Select Region</a:t>
          </a:r>
          <a:r>
            <a:rPr lang="en-US" sz="1100" baseline="0"/>
            <a:t> 1, 2 or 4.  For region 3 use a rural regression equation.</a:t>
          </a:r>
        </a:p>
      </xdr:txBody>
    </xdr:sp>
    <xdr:clientData/>
  </xdr:twoCellAnchor>
  <xdr:twoCellAnchor>
    <xdr:from>
      <xdr:col>18</xdr:col>
      <xdr:colOff>279400</xdr:colOff>
      <xdr:row>4</xdr:row>
      <xdr:rowOff>149225</xdr:rowOff>
    </xdr:from>
    <xdr:to>
      <xdr:col>21</xdr:col>
      <xdr:colOff>50800</xdr:colOff>
      <xdr:row>8</xdr:row>
      <xdr:rowOff>38100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04525" y="1016000"/>
          <a:ext cx="1628775" cy="669925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DA ,PD</a:t>
          </a:r>
        </a:p>
        <a:p>
          <a:pPr algn="l"/>
          <a:r>
            <a:rPr lang="en-US" sz="1100"/>
            <a:t>Read</a:t>
          </a:r>
          <a:r>
            <a:rPr lang="en-US" sz="1100" baseline="0"/>
            <a:t> urban flows</a:t>
          </a:r>
        </a:p>
        <a:p>
          <a:pPr algn="l"/>
          <a:endParaRPr lang="en-US" sz="1100"/>
        </a:p>
      </xdr:txBody>
    </xdr:sp>
    <xdr:clientData/>
  </xdr:twoCellAnchor>
  <xdr:twoCellAnchor>
    <xdr:from>
      <xdr:col>19</xdr:col>
      <xdr:colOff>466725</xdr:colOff>
      <xdr:row>21</xdr:row>
      <xdr:rowOff>142874</xdr:rowOff>
    </xdr:from>
    <xdr:to>
      <xdr:col>22</xdr:col>
      <xdr:colOff>241300</xdr:colOff>
      <xdr:row>24</xdr:row>
      <xdr:rowOff>114299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230100" y="4305299"/>
          <a:ext cx="1631950" cy="542925"/>
        </a:xfrm>
        <a:prstGeom prst="roundRect">
          <a:avLst>
            <a:gd name="adj" fmla="val 526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DA</a:t>
          </a:r>
        </a:p>
        <a:p>
          <a:pPr algn="l"/>
          <a:r>
            <a:rPr lang="en-US" sz="1100"/>
            <a:t>Read small</a:t>
          </a:r>
          <a:r>
            <a:rPr lang="en-US" sz="1100" baseline="0"/>
            <a:t> rural flows</a:t>
          </a:r>
          <a:endParaRPr lang="en-US" sz="1100"/>
        </a:p>
      </xdr:txBody>
    </xdr:sp>
    <xdr:clientData/>
  </xdr:twoCellAnchor>
  <xdr:twoCellAnchor>
    <xdr:from>
      <xdr:col>19</xdr:col>
      <xdr:colOff>381000</xdr:colOff>
      <xdr:row>14</xdr:row>
      <xdr:rowOff>1</xdr:rowOff>
    </xdr:from>
    <xdr:to>
      <xdr:col>22</xdr:col>
      <xdr:colOff>168275</xdr:colOff>
      <xdr:row>16</xdr:row>
      <xdr:rowOff>57151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144375" y="2828926"/>
          <a:ext cx="1644650" cy="438150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Select Region 1 ,2  3</a:t>
          </a:r>
          <a:r>
            <a:rPr lang="en-US" sz="1100" baseline="0"/>
            <a:t> o</a:t>
          </a:r>
          <a:r>
            <a:rPr lang="en-US" sz="1100"/>
            <a:t>r 4</a:t>
          </a:r>
        </a:p>
      </xdr:txBody>
    </xdr:sp>
    <xdr:clientData/>
  </xdr:twoCellAnchor>
  <xdr:twoCellAnchor>
    <xdr:from>
      <xdr:col>23</xdr:col>
      <xdr:colOff>40216</xdr:colOff>
      <xdr:row>13</xdr:row>
      <xdr:rowOff>88900</xdr:rowOff>
    </xdr:from>
    <xdr:to>
      <xdr:col>25</xdr:col>
      <xdr:colOff>322792</xdr:colOff>
      <xdr:row>16</xdr:row>
      <xdr:rowOff>190499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280091" y="2727325"/>
          <a:ext cx="1520826" cy="673099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Enter DA , then  read  large</a:t>
          </a:r>
          <a:r>
            <a:rPr lang="en-US" sz="1100" baseline="0"/>
            <a:t> rural flows for that region.</a:t>
          </a:r>
          <a:endParaRPr lang="en-US" sz="1100"/>
        </a:p>
      </xdr:txBody>
    </xdr:sp>
    <xdr:clientData/>
  </xdr:twoCellAnchor>
  <xdr:twoCellAnchor>
    <xdr:from>
      <xdr:col>7</xdr:col>
      <xdr:colOff>38101</xdr:colOff>
      <xdr:row>36</xdr:row>
      <xdr:rowOff>38100</xdr:rowOff>
    </xdr:from>
    <xdr:to>
      <xdr:col>8</xdr:col>
      <xdr:colOff>615952</xdr:colOff>
      <xdr:row>39</xdr:row>
      <xdr:rowOff>161925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371976" y="7058025"/>
          <a:ext cx="1196976" cy="695325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Determine</a:t>
          </a:r>
          <a:r>
            <a:rPr lang="en-US" sz="1100" baseline="0"/>
            <a:t> runoff coeficient C</a:t>
          </a:r>
          <a:endParaRPr lang="en-US" sz="1100"/>
        </a:p>
      </xdr:txBody>
    </xdr:sp>
    <xdr:clientData/>
  </xdr:twoCellAnchor>
  <xdr:twoCellAnchor>
    <xdr:from>
      <xdr:col>10</xdr:col>
      <xdr:colOff>82196</xdr:colOff>
      <xdr:row>43</xdr:row>
      <xdr:rowOff>161925</xdr:rowOff>
    </xdr:from>
    <xdr:to>
      <xdr:col>12</xdr:col>
      <xdr:colOff>123825</xdr:colOff>
      <xdr:row>47</xdr:row>
      <xdr:rowOff>107597</xdr:rowOff>
    </xdr:to>
    <xdr:sp macro="" textlink="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273446" y="8324850"/>
          <a:ext cx="1279879" cy="707672"/>
        </a:xfrm>
        <a:prstGeom prst="roundRect">
          <a:avLst>
            <a:gd name="adj" fmla="val 863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Calculate IA</a:t>
          </a:r>
        </a:p>
        <a:p>
          <a:pPr algn="l"/>
          <a:r>
            <a:rPr lang="en-US" sz="1100"/>
            <a:t>(acres)</a:t>
          </a:r>
        </a:p>
      </xdr:txBody>
    </xdr:sp>
    <xdr:clientData/>
  </xdr:twoCellAnchor>
  <xdr:twoCellAnchor>
    <xdr:from>
      <xdr:col>7</xdr:col>
      <xdr:colOff>19050</xdr:colOff>
      <xdr:row>43</xdr:row>
      <xdr:rowOff>60325</xdr:rowOff>
    </xdr:from>
    <xdr:to>
      <xdr:col>9</xdr:col>
      <xdr:colOff>38100</xdr:colOff>
      <xdr:row>47</xdr:row>
      <xdr:rowOff>88900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352925" y="8604250"/>
          <a:ext cx="1257300" cy="790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Make AOI of area</a:t>
          </a:r>
          <a:r>
            <a:rPr lang="en-US" sz="1100" baseline="0"/>
            <a:t>. Read soil map units hydrologic soil  groups.</a:t>
          </a:r>
          <a:endParaRPr lang="en-US" sz="1100"/>
        </a:p>
      </xdr:txBody>
    </xdr:sp>
    <xdr:clientData/>
  </xdr:twoCellAnchor>
  <xdr:twoCellAnchor>
    <xdr:from>
      <xdr:col>7</xdr:col>
      <xdr:colOff>31750</xdr:colOff>
      <xdr:row>51</xdr:row>
      <xdr:rowOff>66675</xdr:rowOff>
    </xdr:from>
    <xdr:to>
      <xdr:col>9</xdr:col>
      <xdr:colOff>69850</xdr:colOff>
      <xdr:row>54</xdr:row>
      <xdr:rowOff>152400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5625" y="9944100"/>
          <a:ext cx="1276350" cy="657225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Determine  Soil Map units C  values.        </a:t>
          </a:r>
        </a:p>
      </xdr:txBody>
    </xdr:sp>
    <xdr:clientData/>
  </xdr:twoCellAnchor>
  <xdr:twoCellAnchor>
    <xdr:from>
      <xdr:col>13</xdr:col>
      <xdr:colOff>314325</xdr:colOff>
      <xdr:row>51</xdr:row>
      <xdr:rowOff>95250</xdr:rowOff>
    </xdr:from>
    <xdr:to>
      <xdr:col>15</xdr:col>
      <xdr:colOff>371475</xdr:colOff>
      <xdr:row>54</xdr:row>
      <xdr:rowOff>85725</xdr:rowOff>
    </xdr:to>
    <xdr:sp macro="" textlink="">
      <xdr:nvSpPr>
        <xdr:cNvPr id="16" name="Flowchart: Process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362950" y="9972675"/>
          <a:ext cx="1295400" cy="561975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Calculate overall C</a:t>
          </a:r>
        </a:p>
      </xdr:txBody>
    </xdr:sp>
    <xdr:clientData/>
  </xdr:twoCellAnchor>
  <xdr:twoCellAnchor>
    <xdr:from>
      <xdr:col>9</xdr:col>
      <xdr:colOff>69850</xdr:colOff>
      <xdr:row>52</xdr:row>
      <xdr:rowOff>185738</xdr:rowOff>
    </xdr:from>
    <xdr:to>
      <xdr:col>13</xdr:col>
      <xdr:colOff>314325</xdr:colOff>
      <xdr:row>53</xdr:row>
      <xdr:rowOff>14288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5" idx="3"/>
          <a:endCxn id="16" idx="1"/>
        </xdr:cNvCxnSpPr>
      </xdr:nvCxnSpPr>
      <xdr:spPr>
        <a:xfrm flipV="1">
          <a:off x="5641975" y="10253663"/>
          <a:ext cx="2720975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342900</xdr:colOff>
      <xdr:row>47</xdr:row>
      <xdr:rowOff>98298</xdr:rowOff>
    </xdr:from>
    <xdr:to>
      <xdr:col>14</xdr:col>
      <xdr:colOff>385763</xdr:colOff>
      <xdr:row>51</xdr:row>
      <xdr:rowOff>95250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292" idx="2"/>
          <a:endCxn id="16" idx="0"/>
        </xdr:cNvCxnSpPr>
      </xdr:nvCxnSpPr>
      <xdr:spPr>
        <a:xfrm flipH="1">
          <a:off x="9010650" y="9213723"/>
          <a:ext cx="42863" cy="75895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47</xdr:row>
      <xdr:rowOff>88900</xdr:rowOff>
    </xdr:from>
    <xdr:to>
      <xdr:col>8</xdr:col>
      <xdr:colOff>50800</xdr:colOff>
      <xdr:row>51</xdr:row>
      <xdr:rowOff>66675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4" idx="2"/>
          <a:endCxn id="15" idx="0"/>
        </xdr:cNvCxnSpPr>
      </xdr:nvCxnSpPr>
      <xdr:spPr>
        <a:xfrm>
          <a:off x="4981575" y="9204325"/>
          <a:ext cx="22225" cy="739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609600</xdr:colOff>
      <xdr:row>50</xdr:row>
      <xdr:rowOff>142875</xdr:rowOff>
    </xdr:from>
    <xdr:to>
      <xdr:col>23</xdr:col>
      <xdr:colOff>57151</xdr:colOff>
      <xdr:row>55</xdr:row>
      <xdr:rowOff>47624</xdr:rowOff>
    </xdr:to>
    <xdr:sp macro="" textlink="">
      <xdr:nvSpPr>
        <xdr:cNvPr id="21" name="Flowchart: Process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2992100" y="9829800"/>
          <a:ext cx="1304926" cy="857249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/>
            <a:t>Enter area</a:t>
          </a:r>
        </a:p>
        <a:p>
          <a:pPr algn="l"/>
          <a:r>
            <a:rPr lang="en-US" sz="1100" baseline="0"/>
            <a:t>Enter C</a:t>
          </a:r>
        </a:p>
        <a:p>
          <a:pPr algn="l"/>
          <a:r>
            <a:rPr lang="en-US" sz="1100" baseline="0"/>
            <a:t>Enter tc </a:t>
          </a:r>
        </a:p>
        <a:p>
          <a:pPr algn="l"/>
          <a:r>
            <a:rPr lang="en-US" sz="1100" baseline="0"/>
            <a:t>Read flows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Calculate flows</a:t>
          </a:r>
        </a:p>
      </xdr:txBody>
    </xdr:sp>
    <xdr:clientData/>
  </xdr:twoCellAnchor>
  <xdr:twoCellAnchor>
    <xdr:from>
      <xdr:col>15</xdr:col>
      <xdr:colOff>371475</xdr:colOff>
      <xdr:row>52</xdr:row>
      <xdr:rowOff>185738</xdr:rowOff>
    </xdr:from>
    <xdr:to>
      <xdr:col>20</xdr:col>
      <xdr:colOff>609600</xdr:colOff>
      <xdr:row>53</xdr:row>
      <xdr:rowOff>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>
          <a:stCxn id="16" idx="3"/>
          <a:endCxn id="21" idx="1"/>
        </xdr:cNvCxnSpPr>
      </xdr:nvCxnSpPr>
      <xdr:spPr>
        <a:xfrm>
          <a:off x="9658350" y="10253663"/>
          <a:ext cx="3333750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34</xdr:row>
      <xdr:rowOff>3175</xdr:rowOff>
    </xdr:from>
    <xdr:to>
      <xdr:col>8</xdr:col>
      <xdr:colOff>17464</xdr:colOff>
      <xdr:row>36</xdr:row>
      <xdr:rowOff>38100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275" idx="2"/>
          <a:endCxn id="12" idx="0"/>
        </xdr:cNvCxnSpPr>
      </xdr:nvCxnSpPr>
      <xdr:spPr>
        <a:xfrm>
          <a:off x="4957763" y="6642100"/>
          <a:ext cx="12701" cy="415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552450</xdr:colOff>
      <xdr:row>30</xdr:row>
      <xdr:rowOff>76201</xdr:rowOff>
    </xdr:from>
    <xdr:to>
      <xdr:col>15</xdr:col>
      <xdr:colOff>120650</xdr:colOff>
      <xdr:row>33</xdr:row>
      <xdr:rowOff>104775</xdr:rowOff>
    </xdr:to>
    <xdr:sp macro="" textlink="">
      <xdr:nvSpPr>
        <xdr:cNvPr id="24" name="Flowchart: Process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981950" y="5953126"/>
          <a:ext cx="1425575" cy="600074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Draw flow path or</a:t>
          </a:r>
          <a:r>
            <a:rPr lang="en-US" sz="1100" baseline="0"/>
            <a:t> paths</a:t>
          </a:r>
          <a:endParaRPr lang="en-US" sz="1100"/>
        </a:p>
      </xdr:txBody>
    </xdr:sp>
    <xdr:clientData/>
  </xdr:twoCellAnchor>
  <xdr:twoCellAnchor>
    <xdr:from>
      <xdr:col>16</xdr:col>
      <xdr:colOff>228600</xdr:colOff>
      <xdr:row>29</xdr:row>
      <xdr:rowOff>152400</xdr:rowOff>
    </xdr:from>
    <xdr:to>
      <xdr:col>18</xdr:col>
      <xdr:colOff>381000</xdr:colOff>
      <xdr:row>34</xdr:row>
      <xdr:rowOff>38100</xdr:rowOff>
    </xdr:to>
    <xdr:sp macro="" textlink="">
      <xdr:nvSpPr>
        <xdr:cNvPr id="25" name="Flowchart: Process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0134600" y="5838825"/>
          <a:ext cx="1390650" cy="8382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Measure  </a:t>
          </a:r>
          <a:r>
            <a:rPr 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start</a:t>
          </a:r>
          <a:r>
            <a:rPr lang="en-US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and stop elevations and lengths for </a:t>
          </a:r>
          <a:r>
            <a:rPr lang="en-US" sz="1100"/>
            <a:t>overland flow  &amp; channel flow.</a:t>
          </a:r>
          <a:endParaRPr lang="en-US" sz="1100" baseline="0"/>
        </a:p>
        <a:p>
          <a:pPr algn="l"/>
          <a:endParaRPr lang="en-US" sz="1100"/>
        </a:p>
        <a:p>
          <a:pPr algn="l"/>
          <a:endParaRPr lang="en-US" sz="1100"/>
        </a:p>
        <a:p>
          <a:pPr algn="l"/>
          <a:endParaRPr lang="en-US" sz="1100"/>
        </a:p>
        <a:p>
          <a:pPr algn="l"/>
          <a:endParaRPr lang="en-US" sz="1100"/>
        </a:p>
        <a:p>
          <a:pPr algn="l"/>
          <a:r>
            <a:rPr lang="en-US" sz="1100"/>
            <a:t>S</a:t>
          </a:r>
        </a:p>
      </xdr:txBody>
    </xdr:sp>
    <xdr:clientData/>
  </xdr:twoCellAnchor>
  <xdr:twoCellAnchor>
    <xdr:from>
      <xdr:col>20</xdr:col>
      <xdr:colOff>520700</xdr:colOff>
      <xdr:row>29</xdr:row>
      <xdr:rowOff>114301</xdr:rowOff>
    </xdr:from>
    <xdr:to>
      <xdr:col>23</xdr:col>
      <xdr:colOff>133350</xdr:colOff>
      <xdr:row>34</xdr:row>
      <xdr:rowOff>114301</xdr:rowOff>
    </xdr:to>
    <xdr:sp macro="" textlink="">
      <xdr:nvSpPr>
        <xdr:cNvPr id="26" name="Flowchart: Process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2903200" y="5800726"/>
          <a:ext cx="1470025" cy="9525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/>
            <a:t>Select tc modifiers</a:t>
          </a:r>
        </a:p>
        <a:p>
          <a:pPr algn="l"/>
          <a:r>
            <a:rPr lang="en-US" sz="1100" baseline="0"/>
            <a:t>Fill  out path tables and select flow path with the longest flow time (t</a:t>
          </a:r>
          <a:r>
            <a:rPr lang="en-US" sz="1100" baseline="-25000"/>
            <a:t>c</a:t>
          </a:r>
          <a:r>
            <a:rPr lang="en-US" sz="1100" baseline="0"/>
            <a:t>)</a:t>
          </a:r>
        </a:p>
      </xdr:txBody>
    </xdr:sp>
    <xdr:clientData/>
  </xdr:twoCellAnchor>
  <xdr:twoCellAnchor>
    <xdr:from>
      <xdr:col>22</xdr:col>
      <xdr:colOff>17463</xdr:colOff>
      <xdr:row>34</xdr:row>
      <xdr:rowOff>114301</xdr:rowOff>
    </xdr:from>
    <xdr:to>
      <xdr:col>22</xdr:col>
      <xdr:colOff>17463</xdr:colOff>
      <xdr:row>34</xdr:row>
      <xdr:rowOff>114301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stCxn id="26" idx="2"/>
          <a:endCxn id="26" idx="2"/>
        </xdr:cNvCxnSpPr>
      </xdr:nvCxnSpPr>
      <xdr:spPr>
        <a:xfrm>
          <a:off x="13638213" y="6753226"/>
          <a:ext cx="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17463</xdr:colOff>
      <xdr:row>34</xdr:row>
      <xdr:rowOff>114301</xdr:rowOff>
    </xdr:from>
    <xdr:to>
      <xdr:col>22</xdr:col>
      <xdr:colOff>23813</xdr:colOff>
      <xdr:row>50</xdr:row>
      <xdr:rowOff>142875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>
          <a:stCxn id="26" idx="2"/>
          <a:endCxn id="21" idx="0"/>
        </xdr:cNvCxnSpPr>
      </xdr:nvCxnSpPr>
      <xdr:spPr>
        <a:xfrm>
          <a:off x="13638213" y="6753226"/>
          <a:ext cx="6350" cy="30765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381000</xdr:colOff>
      <xdr:row>32</xdr:row>
      <xdr:rowOff>0</xdr:rowOff>
    </xdr:from>
    <xdr:to>
      <xdr:col>20</xdr:col>
      <xdr:colOff>520700</xdr:colOff>
      <xdr:row>32</xdr:row>
      <xdr:rowOff>19051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25" idx="3"/>
          <a:endCxn id="26" idx="1"/>
        </xdr:cNvCxnSpPr>
      </xdr:nvCxnSpPr>
      <xdr:spPr>
        <a:xfrm>
          <a:off x="11525250" y="6257925"/>
          <a:ext cx="1377950" cy="190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17464</xdr:colOff>
      <xdr:row>39</xdr:row>
      <xdr:rowOff>161925</xdr:rowOff>
    </xdr:from>
    <xdr:to>
      <xdr:col>11</xdr:col>
      <xdr:colOff>103011</xdr:colOff>
      <xdr:row>43</xdr:row>
      <xdr:rowOff>161925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12" idx="2"/>
          <a:endCxn id="13" idx="0"/>
        </xdr:cNvCxnSpPr>
      </xdr:nvCxnSpPr>
      <xdr:spPr>
        <a:xfrm>
          <a:off x="4970464" y="7753350"/>
          <a:ext cx="1942922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17464</xdr:colOff>
      <xdr:row>39</xdr:row>
      <xdr:rowOff>161925</xdr:rowOff>
    </xdr:from>
    <xdr:to>
      <xdr:col>8</xdr:col>
      <xdr:colOff>28575</xdr:colOff>
      <xdr:row>43</xdr:row>
      <xdr:rowOff>60325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stCxn id="12" idx="2"/>
          <a:endCxn id="14" idx="0"/>
        </xdr:cNvCxnSpPr>
      </xdr:nvCxnSpPr>
      <xdr:spPr>
        <a:xfrm>
          <a:off x="4970464" y="7753350"/>
          <a:ext cx="11111" cy="660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285750</xdr:colOff>
      <xdr:row>6</xdr:row>
      <xdr:rowOff>84138</xdr:rowOff>
    </xdr:from>
    <xdr:to>
      <xdr:col>18</xdr:col>
      <xdr:colOff>279400</xdr:colOff>
      <xdr:row>6</xdr:row>
      <xdr:rowOff>95250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stCxn id="4" idx="3"/>
          <a:endCxn id="5" idx="1"/>
        </xdr:cNvCxnSpPr>
      </xdr:nvCxnSpPr>
      <xdr:spPr>
        <a:xfrm flipV="1">
          <a:off x="10810875" y="1350963"/>
          <a:ext cx="612775" cy="111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549275</xdr:colOff>
      <xdr:row>21</xdr:row>
      <xdr:rowOff>142876</xdr:rowOff>
    </xdr:from>
    <xdr:to>
      <xdr:col>15</xdr:col>
      <xdr:colOff>209550</xdr:colOff>
      <xdr:row>24</xdr:row>
      <xdr:rowOff>117475</xdr:rowOff>
    </xdr:to>
    <xdr:sp macro="" textlink="">
      <xdr:nvSpPr>
        <xdr:cNvPr id="42" name="Rounded Rect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8597900" y="4305301"/>
          <a:ext cx="898525" cy="546099"/>
        </a:xfrm>
        <a:prstGeom prst="roundRect">
          <a:avLst>
            <a:gd name="adj" fmla="val 12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PD &lt; 20 %</a:t>
          </a:r>
        </a:p>
        <a:p>
          <a:pPr algn="l"/>
          <a:r>
            <a:rPr lang="en-US" sz="1100"/>
            <a:t>DA ≤ 5 mi</a:t>
          </a:r>
          <a:r>
            <a:rPr lang="en-US" sz="1100" baseline="30000"/>
            <a:t>2   </a:t>
          </a:r>
          <a:endParaRPr lang="en-US" sz="1100"/>
        </a:p>
      </xdr:txBody>
    </xdr:sp>
    <xdr:clientData/>
  </xdr:twoCellAnchor>
  <xdr:twoCellAnchor>
    <xdr:from>
      <xdr:col>9</xdr:col>
      <xdr:colOff>457200</xdr:colOff>
      <xdr:row>15</xdr:row>
      <xdr:rowOff>13759</xdr:rowOff>
    </xdr:from>
    <xdr:to>
      <xdr:col>10</xdr:col>
      <xdr:colOff>104775</xdr:colOff>
      <xdr:row>15</xdr:row>
      <xdr:rowOff>15875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" idx="3"/>
          <a:endCxn id="299" idx="1"/>
        </xdr:cNvCxnSpPr>
      </xdr:nvCxnSpPr>
      <xdr:spPr>
        <a:xfrm>
          <a:off x="6029325" y="3033184"/>
          <a:ext cx="266700" cy="211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428625</xdr:colOff>
      <xdr:row>75</xdr:row>
      <xdr:rowOff>180976</xdr:rowOff>
    </xdr:from>
    <xdr:to>
      <xdr:col>2</xdr:col>
      <xdr:colOff>495300</xdr:colOff>
      <xdr:row>79</xdr:row>
      <xdr:rowOff>9525</xdr:rowOff>
    </xdr:to>
    <xdr:sp macro="" textlink="">
      <xdr:nvSpPr>
        <xdr:cNvPr id="53" name="Rounded 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428625" y="14725651"/>
          <a:ext cx="1304925" cy="590549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Hydrograph not needed</a:t>
          </a:r>
        </a:p>
        <a:p>
          <a:pPr algn="l"/>
          <a:endParaRPr lang="en-US" sz="1100"/>
        </a:p>
      </xdr:txBody>
    </xdr:sp>
    <xdr:clientData/>
  </xdr:twoCellAnchor>
  <xdr:twoCellAnchor>
    <xdr:from>
      <xdr:col>1</xdr:col>
      <xdr:colOff>461963</xdr:colOff>
      <xdr:row>71</xdr:row>
      <xdr:rowOff>19049</xdr:rowOff>
    </xdr:from>
    <xdr:to>
      <xdr:col>1</xdr:col>
      <xdr:colOff>495300</xdr:colOff>
      <xdr:row>75</xdr:row>
      <xdr:rowOff>180976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303" idx="2"/>
          <a:endCxn id="53" idx="0"/>
        </xdr:cNvCxnSpPr>
      </xdr:nvCxnSpPr>
      <xdr:spPr>
        <a:xfrm flipH="1">
          <a:off x="1081088" y="13801724"/>
          <a:ext cx="33337" cy="9239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285750</xdr:colOff>
      <xdr:row>66</xdr:row>
      <xdr:rowOff>85725</xdr:rowOff>
    </xdr:from>
    <xdr:to>
      <xdr:col>16</xdr:col>
      <xdr:colOff>371475</xdr:colOff>
      <xdr:row>69</xdr:row>
      <xdr:rowOff>123825</xdr:rowOff>
    </xdr:to>
    <xdr:sp macro="" textlink="">
      <xdr:nvSpPr>
        <xdr:cNvPr id="58" name="Rounded Rectangl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7715250" y="12915900"/>
          <a:ext cx="2562225" cy="609600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return period, peak flow and LT</a:t>
          </a:r>
          <a:r>
            <a:rPr lang="en-US" sz="1100" baseline="0"/>
            <a:t> (as tc) from WS sheet. Read Hydrograph</a:t>
          </a:r>
        </a:p>
        <a:p>
          <a:pPr algn="l"/>
          <a:r>
            <a:rPr lang="en-US" sz="1100" baseline="0"/>
            <a:t>   </a:t>
          </a:r>
          <a:endParaRPr lang="en-US" sz="1100"/>
        </a:p>
      </xdr:txBody>
    </xdr:sp>
    <xdr:clientData/>
  </xdr:twoCellAnchor>
  <xdr:twoCellAnchor>
    <xdr:from>
      <xdr:col>10</xdr:col>
      <xdr:colOff>21873</xdr:colOff>
      <xdr:row>83</xdr:row>
      <xdr:rowOff>38099</xdr:rowOff>
    </xdr:from>
    <xdr:to>
      <xdr:col>11</xdr:col>
      <xdr:colOff>524228</xdr:colOff>
      <xdr:row>86</xdr:row>
      <xdr:rowOff>95250</xdr:rowOff>
    </xdr:to>
    <xdr:sp macro="" textlink="">
      <xdr:nvSpPr>
        <xdr:cNvPr id="62" name="Rounded Rect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6213123" y="16106774"/>
          <a:ext cx="1121480" cy="628651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Check DA, S, &amp; </a:t>
          </a:r>
          <a:r>
            <a:rPr lang="en-US" sz="1100" baseline="0"/>
            <a:t>  IA %</a:t>
          </a:r>
          <a:r>
            <a:rPr lang="en-US" sz="1100"/>
            <a:t> ranges for</a:t>
          </a:r>
          <a:r>
            <a:rPr lang="en-US" sz="1100" baseline="0"/>
            <a:t> LT equation</a:t>
          </a:r>
        </a:p>
        <a:p>
          <a:pPr algn="l"/>
          <a:endParaRPr lang="en-US" sz="1100"/>
        </a:p>
        <a:p>
          <a:pPr algn="l"/>
          <a:endParaRPr lang="en-US" sz="1100"/>
        </a:p>
      </xdr:txBody>
    </xdr:sp>
    <xdr:clientData/>
  </xdr:twoCellAnchor>
  <xdr:twoCellAnchor>
    <xdr:from>
      <xdr:col>8</xdr:col>
      <xdr:colOff>167640</xdr:colOff>
      <xdr:row>92</xdr:row>
      <xdr:rowOff>161926</xdr:rowOff>
    </xdr:from>
    <xdr:to>
      <xdr:col>10</xdr:col>
      <xdr:colOff>161925</xdr:colOff>
      <xdr:row>96</xdr:row>
      <xdr:rowOff>114300</xdr:rowOff>
    </xdr:to>
    <xdr:sp macro="" textlink="">
      <xdr:nvSpPr>
        <xdr:cNvPr id="66" name="Rounded Rect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5120640" y="17945101"/>
          <a:ext cx="1232535" cy="714374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Observe</a:t>
          </a:r>
          <a:r>
            <a:rPr lang="en-US" sz="1100" baseline="0"/>
            <a:t> if</a:t>
          </a:r>
          <a:r>
            <a:rPr lang="en-US" sz="1100"/>
            <a:t> area is North or South of Fall line  </a:t>
          </a:r>
        </a:p>
      </xdr:txBody>
    </xdr:sp>
    <xdr:clientData/>
  </xdr:twoCellAnchor>
  <xdr:twoCellAnchor>
    <xdr:from>
      <xdr:col>15</xdr:col>
      <xdr:colOff>361951</xdr:colOff>
      <xdr:row>83</xdr:row>
      <xdr:rowOff>43040</xdr:rowOff>
    </xdr:from>
    <xdr:to>
      <xdr:col>18</xdr:col>
      <xdr:colOff>447675</xdr:colOff>
      <xdr:row>86</xdr:row>
      <xdr:rowOff>95250</xdr:rowOff>
    </xdr:to>
    <xdr:sp macro="" textlink="">
      <xdr:nvSpPr>
        <xdr:cNvPr id="77" name="Rounded Rectangle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9648826" y="16111715"/>
          <a:ext cx="1943099" cy="623710"/>
        </a:xfrm>
        <a:prstGeom prst="roundRect">
          <a:avLst>
            <a:gd name="adj" fmla="val 121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peak flow and LT-  Read Hydrograph</a:t>
          </a:r>
        </a:p>
        <a:p>
          <a:pPr algn="l"/>
          <a:endParaRPr lang="en-US" sz="1100"/>
        </a:p>
      </xdr:txBody>
    </xdr:sp>
    <xdr:clientData/>
  </xdr:twoCellAnchor>
  <xdr:twoCellAnchor>
    <xdr:from>
      <xdr:col>18</xdr:col>
      <xdr:colOff>232128</xdr:colOff>
      <xdr:row>93</xdr:row>
      <xdr:rowOff>9524</xdr:rowOff>
    </xdr:from>
    <xdr:to>
      <xdr:col>21</xdr:col>
      <xdr:colOff>514350</xdr:colOff>
      <xdr:row>96</xdr:row>
      <xdr:rowOff>66675</xdr:rowOff>
    </xdr:to>
    <xdr:sp macro="" textlink="">
      <xdr:nvSpPr>
        <xdr:cNvPr id="79" name="Rounded 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376378" y="17983199"/>
          <a:ext cx="2139597" cy="628651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return</a:t>
          </a:r>
          <a:r>
            <a:rPr lang="en-US" sz="1100" baseline="0"/>
            <a:t> period, peak </a:t>
          </a:r>
          <a:r>
            <a:rPr lang="en-US" sz="1100"/>
            <a:t>flow, LT and DA. - Read Hydrograph</a:t>
          </a:r>
        </a:p>
        <a:p>
          <a:pPr algn="l"/>
          <a:endParaRPr lang="en-US" sz="1100"/>
        </a:p>
      </xdr:txBody>
    </xdr:sp>
    <xdr:clientData/>
  </xdr:twoCellAnchor>
  <xdr:twoCellAnchor>
    <xdr:from>
      <xdr:col>15</xdr:col>
      <xdr:colOff>204330</xdr:colOff>
      <xdr:row>100</xdr:row>
      <xdr:rowOff>87630</xdr:rowOff>
    </xdr:from>
    <xdr:to>
      <xdr:col>18</xdr:col>
      <xdr:colOff>576510</xdr:colOff>
      <xdr:row>104</xdr:row>
      <xdr:rowOff>34289</xdr:rowOff>
    </xdr:to>
    <xdr:sp macro="" textlink="">
      <xdr:nvSpPr>
        <xdr:cNvPr id="84" name="Rounded Rect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9491205" y="19394805"/>
          <a:ext cx="2229555" cy="708659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En-ter return</a:t>
          </a:r>
          <a:r>
            <a:rPr lang="en-US" sz="1100" baseline="0"/>
            <a:t> period, peak </a:t>
          </a:r>
          <a:r>
            <a:rPr lang="en-US" sz="1100"/>
            <a:t>flow and LT-  Read Hydrograph</a:t>
          </a:r>
        </a:p>
        <a:p>
          <a:pPr algn="l"/>
          <a:endParaRPr lang="en-US" sz="1100"/>
        </a:p>
      </xdr:txBody>
    </xdr:sp>
    <xdr:clientData/>
  </xdr:twoCellAnchor>
  <xdr:twoCellAnchor>
    <xdr:from>
      <xdr:col>17</xdr:col>
      <xdr:colOff>412751</xdr:colOff>
      <xdr:row>66</xdr:row>
      <xdr:rowOff>57151</xdr:rowOff>
    </xdr:from>
    <xdr:to>
      <xdr:col>20</xdr:col>
      <xdr:colOff>323850</xdr:colOff>
      <xdr:row>69</xdr:row>
      <xdr:rowOff>171451</xdr:rowOff>
    </xdr:to>
    <xdr:sp macro="" textlink="">
      <xdr:nvSpPr>
        <xdr:cNvPr id="90" name="Rounded Rectangle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10937876" y="12887326"/>
          <a:ext cx="1768474" cy="685800"/>
        </a:xfrm>
        <a:prstGeom prst="roundRect">
          <a:avLst>
            <a:gd name="adj" fmla="val 126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Return period, t</a:t>
          </a:r>
          <a:r>
            <a:rPr lang="en-US" sz="1100" baseline="-25000"/>
            <a:t>c</a:t>
          </a:r>
          <a:r>
            <a:rPr lang="en-US" sz="1100" baseline="0"/>
            <a:t> , Peak flow &amp; DA. Read total volume &amp; direct runoff</a:t>
          </a:r>
        </a:p>
      </xdr:txBody>
    </xdr:sp>
    <xdr:clientData/>
  </xdr:twoCellAnchor>
  <xdr:twoCellAnchor>
    <xdr:from>
      <xdr:col>18</xdr:col>
      <xdr:colOff>447675</xdr:colOff>
      <xdr:row>84</xdr:row>
      <xdr:rowOff>164395</xdr:rowOff>
    </xdr:from>
    <xdr:to>
      <xdr:col>18</xdr:col>
      <xdr:colOff>447675</xdr:colOff>
      <xdr:row>84</xdr:row>
      <xdr:rowOff>164395</xdr:rowOff>
    </xdr:to>
    <xdr:cxnSp macro="">
      <xdr:nvCxnSpPr>
        <xdr:cNvPr id="92" name="Straight Arrow Connector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CxnSpPr>
          <a:stCxn id="77" idx="3"/>
          <a:endCxn id="77" idx="3"/>
        </xdr:cNvCxnSpPr>
      </xdr:nvCxnSpPr>
      <xdr:spPr>
        <a:xfrm>
          <a:off x="11591925" y="16423570"/>
          <a:ext cx="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576510</xdr:colOff>
      <xdr:row>102</xdr:row>
      <xdr:rowOff>44309</xdr:rowOff>
    </xdr:from>
    <xdr:to>
      <xdr:col>20</xdr:col>
      <xdr:colOff>199320</xdr:colOff>
      <xdr:row>102</xdr:row>
      <xdr:rowOff>60960</xdr:rowOff>
    </xdr:to>
    <xdr:cxnSp macro="">
      <xdr:nvCxnSpPr>
        <xdr:cNvPr id="98" name="Straight Arrow Connector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CxnSpPr>
          <a:stCxn id="84" idx="3"/>
          <a:endCxn id="168" idx="1"/>
        </xdr:cNvCxnSpPr>
      </xdr:nvCxnSpPr>
      <xdr:spPr>
        <a:xfrm flipV="1">
          <a:off x="11720760" y="19732484"/>
          <a:ext cx="861060" cy="16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481540</xdr:colOff>
      <xdr:row>83</xdr:row>
      <xdr:rowOff>28575</xdr:rowOff>
    </xdr:from>
    <xdr:to>
      <xdr:col>14</xdr:col>
      <xdr:colOff>552094</xdr:colOff>
      <xdr:row>86</xdr:row>
      <xdr:rowOff>104775</xdr:rowOff>
    </xdr:to>
    <xdr:sp macro="" textlink="">
      <xdr:nvSpPr>
        <xdr:cNvPr id="99" name="Rounded Rectangle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7911040" y="16097250"/>
          <a:ext cx="1308804" cy="647700"/>
        </a:xfrm>
        <a:prstGeom prst="roundRect">
          <a:avLst>
            <a:gd name="adj" fmla="val 17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aseline="-25000"/>
            <a:t> </a:t>
          </a:r>
          <a:r>
            <a:rPr lang="en-US" sz="1100" baseline="0"/>
            <a:t>Enter S &amp; IA %, Read LT &amp;  estimated volume.</a:t>
          </a:r>
        </a:p>
      </xdr:txBody>
    </xdr:sp>
    <xdr:clientData/>
  </xdr:twoCellAnchor>
  <xdr:twoCellAnchor>
    <xdr:from>
      <xdr:col>0</xdr:col>
      <xdr:colOff>600075</xdr:colOff>
      <xdr:row>19</xdr:row>
      <xdr:rowOff>152400</xdr:rowOff>
    </xdr:from>
    <xdr:to>
      <xdr:col>3</xdr:col>
      <xdr:colOff>44450</xdr:colOff>
      <xdr:row>23</xdr:row>
      <xdr:rowOff>0</xdr:rowOff>
    </xdr:to>
    <xdr:sp macro="" textlink="">
      <xdr:nvSpPr>
        <xdr:cNvPr id="101" name="Flowchart: Preparation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600075" y="3933825"/>
          <a:ext cx="1301750" cy="609600"/>
        </a:xfrm>
        <a:prstGeom prst="flowChartPreparat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Measure Drainage Area	</a:t>
          </a:r>
        </a:p>
      </xdr:txBody>
    </xdr:sp>
    <xdr:clientData/>
  </xdr:twoCellAnchor>
  <xdr:twoCellAnchor>
    <xdr:from>
      <xdr:col>0</xdr:col>
      <xdr:colOff>495299</xdr:colOff>
      <xdr:row>14</xdr:row>
      <xdr:rowOff>63500</xdr:rowOff>
    </xdr:from>
    <xdr:to>
      <xdr:col>3</xdr:col>
      <xdr:colOff>171449</xdr:colOff>
      <xdr:row>17</xdr:row>
      <xdr:rowOff>22352</xdr:rowOff>
    </xdr:to>
    <xdr:sp macro="" textlink="">
      <xdr:nvSpPr>
        <xdr:cNvPr id="102" name="Flowchart: Terminator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495299" y="2892425"/>
          <a:ext cx="1533525" cy="530352"/>
        </a:xfrm>
        <a:prstGeom prst="flowChartTermina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Map or Plan Sheets</a:t>
          </a:r>
        </a:p>
      </xdr:txBody>
    </xdr:sp>
    <xdr:clientData/>
  </xdr:twoCellAnchor>
  <xdr:twoCellAnchor>
    <xdr:from>
      <xdr:col>2</xdr:col>
      <xdr:colOff>12700</xdr:colOff>
      <xdr:row>17</xdr:row>
      <xdr:rowOff>22352</xdr:rowOff>
    </xdr:from>
    <xdr:to>
      <xdr:col>2</xdr:col>
      <xdr:colOff>23812</xdr:colOff>
      <xdr:row>19</xdr:row>
      <xdr:rowOff>152400</xdr:rowOff>
    </xdr:to>
    <xdr:cxnSp macro="">
      <xdr:nvCxnSpPr>
        <xdr:cNvPr id="106" name="Straight Arrow Connector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>
          <a:stCxn id="102" idx="2"/>
          <a:endCxn id="101" idx="0"/>
        </xdr:cNvCxnSpPr>
      </xdr:nvCxnSpPr>
      <xdr:spPr>
        <a:xfrm flipH="1">
          <a:off x="1250950" y="3422777"/>
          <a:ext cx="11112" cy="51104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44450</xdr:colOff>
      <xdr:row>21</xdr:row>
      <xdr:rowOff>76200</xdr:rowOff>
    </xdr:from>
    <xdr:to>
      <xdr:col>3</xdr:col>
      <xdr:colOff>431935</xdr:colOff>
      <xdr:row>21</xdr:row>
      <xdr:rowOff>82550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CxnSpPr>
          <a:stCxn id="101" idx="3"/>
          <a:endCxn id="178" idx="3"/>
        </xdr:cNvCxnSpPr>
      </xdr:nvCxnSpPr>
      <xdr:spPr>
        <a:xfrm>
          <a:off x="1901825" y="4238625"/>
          <a:ext cx="387485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431935</xdr:colOff>
      <xdr:row>16</xdr:row>
      <xdr:rowOff>177800</xdr:rowOff>
    </xdr:from>
    <xdr:to>
      <xdr:col>6</xdr:col>
      <xdr:colOff>174625</xdr:colOff>
      <xdr:row>25</xdr:row>
      <xdr:rowOff>177800</xdr:rowOff>
    </xdr:to>
    <xdr:sp macro="" textlink="">
      <xdr:nvSpPr>
        <xdr:cNvPr id="178" name="Flowchart: Decision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 rot="10800000" flipV="1">
          <a:off x="2289310" y="3387725"/>
          <a:ext cx="1600065" cy="1714500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Drainage Area &gt; 200</a:t>
          </a:r>
          <a:r>
            <a:rPr lang="en-US" sz="1100" baseline="0"/>
            <a:t> Acres </a:t>
          </a:r>
          <a:endParaRPr lang="en-US" sz="1100"/>
        </a:p>
      </xdr:txBody>
    </xdr:sp>
    <xdr:clientData/>
  </xdr:twoCellAnchor>
  <xdr:twoCellAnchor>
    <xdr:from>
      <xdr:col>4</xdr:col>
      <xdr:colOff>612842</xdr:colOff>
      <xdr:row>15</xdr:row>
      <xdr:rowOff>12700</xdr:rowOff>
    </xdr:from>
    <xdr:to>
      <xdr:col>5</xdr:col>
      <xdr:colOff>536575</xdr:colOff>
      <xdr:row>16</xdr:row>
      <xdr:rowOff>177800</xdr:rowOff>
    </xdr:to>
    <xdr:cxnSp macro="">
      <xdr:nvCxnSpPr>
        <xdr:cNvPr id="194" name="Connector: Elbow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CxnSpPr>
          <a:stCxn id="178" idx="0"/>
          <a:endCxn id="241" idx="1"/>
        </xdr:cNvCxnSpPr>
      </xdr:nvCxnSpPr>
      <xdr:spPr>
        <a:xfrm rot="5400000" flipH="1" flipV="1">
          <a:off x="3182971" y="2938496"/>
          <a:ext cx="355600" cy="542858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612843</xdr:colOff>
      <xdr:row>25</xdr:row>
      <xdr:rowOff>177799</xdr:rowOff>
    </xdr:from>
    <xdr:to>
      <xdr:col>7</xdr:col>
      <xdr:colOff>47626</xdr:colOff>
      <xdr:row>31</xdr:row>
      <xdr:rowOff>187324</xdr:rowOff>
    </xdr:to>
    <xdr:cxnSp macro="">
      <xdr:nvCxnSpPr>
        <xdr:cNvPr id="223" name="Connector: Elbow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CxnSpPr>
          <a:stCxn id="178" idx="2"/>
          <a:endCxn id="275" idx="1"/>
        </xdr:cNvCxnSpPr>
      </xdr:nvCxnSpPr>
      <xdr:spPr>
        <a:xfrm rot="16200000" flipH="1">
          <a:off x="3159159" y="5032408"/>
          <a:ext cx="1152525" cy="1292158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536575</xdr:colOff>
      <xdr:row>13</xdr:row>
      <xdr:rowOff>44450</xdr:rowOff>
    </xdr:from>
    <xdr:to>
      <xdr:col>7</xdr:col>
      <xdr:colOff>314325</xdr:colOff>
      <xdr:row>16</xdr:row>
      <xdr:rowOff>171450</xdr:rowOff>
    </xdr:to>
    <xdr:sp macro="" textlink="">
      <xdr:nvSpPr>
        <xdr:cNvPr id="241" name="Flowchart: Alternate Process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3632200" y="2682875"/>
          <a:ext cx="1016000" cy="698500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Use Regression Equation</a:t>
          </a:r>
        </a:p>
      </xdr:txBody>
    </xdr:sp>
    <xdr:clientData/>
  </xdr:twoCellAnchor>
  <xdr:twoCellAnchor>
    <xdr:from>
      <xdr:col>7</xdr:col>
      <xdr:colOff>47625</xdr:colOff>
      <xdr:row>29</xdr:row>
      <xdr:rowOff>180975</xdr:rowOff>
    </xdr:from>
    <xdr:to>
      <xdr:col>8</xdr:col>
      <xdr:colOff>581025</xdr:colOff>
      <xdr:row>34</xdr:row>
      <xdr:rowOff>3175</xdr:rowOff>
    </xdr:to>
    <xdr:sp macro="" textlink="">
      <xdr:nvSpPr>
        <xdr:cNvPr id="275" name="Flowchart: Alternate Process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>
        <a:xfrm>
          <a:off x="4381500" y="5867400"/>
          <a:ext cx="1152525" cy="774700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Use Rational Equation</a:t>
          </a:r>
        </a:p>
      </xdr:txBody>
    </xdr:sp>
    <xdr:clientData/>
  </xdr:twoCellAnchor>
  <xdr:twoCellAnchor>
    <xdr:from>
      <xdr:col>7</xdr:col>
      <xdr:colOff>314325</xdr:colOff>
      <xdr:row>15</xdr:row>
      <xdr:rowOff>12700</xdr:rowOff>
    </xdr:from>
    <xdr:to>
      <xdr:col>8</xdr:col>
      <xdr:colOff>66675</xdr:colOff>
      <xdr:row>15</xdr:row>
      <xdr:rowOff>13759</xdr:rowOff>
    </xdr:to>
    <xdr:cxnSp macro="">
      <xdr:nvCxnSpPr>
        <xdr:cNvPr id="283" name="Straight Arrow Connector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CxnSpPr>
          <a:stCxn id="241" idx="3"/>
          <a:endCxn id="2" idx="1"/>
        </xdr:cNvCxnSpPr>
      </xdr:nvCxnSpPr>
      <xdr:spPr>
        <a:xfrm>
          <a:off x="4648200" y="3032125"/>
          <a:ext cx="371475" cy="10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104775</xdr:colOff>
      <xdr:row>11</xdr:row>
      <xdr:rowOff>53975</xdr:rowOff>
    </xdr:from>
    <xdr:to>
      <xdr:col>12</xdr:col>
      <xdr:colOff>542925</xdr:colOff>
      <xdr:row>18</xdr:row>
      <xdr:rowOff>168275</xdr:rowOff>
    </xdr:to>
    <xdr:sp macro="" textlink="">
      <xdr:nvSpPr>
        <xdr:cNvPr id="299" name="Flowchart: Decision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>
        <a:xfrm>
          <a:off x="6296025" y="2311400"/>
          <a:ext cx="1676400" cy="1447800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247650</xdr:colOff>
      <xdr:row>11</xdr:row>
      <xdr:rowOff>76200</xdr:rowOff>
    </xdr:from>
    <xdr:to>
      <xdr:col>15</xdr:col>
      <xdr:colOff>536575</xdr:colOff>
      <xdr:row>18</xdr:row>
      <xdr:rowOff>165100</xdr:rowOff>
    </xdr:to>
    <xdr:sp macro="" textlink="">
      <xdr:nvSpPr>
        <xdr:cNvPr id="240" name="Flowchart: Decision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>
        <a:xfrm>
          <a:off x="8296275" y="2333625"/>
          <a:ext cx="1527175" cy="1422400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PD</a:t>
          </a:r>
          <a:r>
            <a:rPr lang="en-US" sz="1100" baseline="0"/>
            <a:t> &lt; 20 %  DA &gt; 5 sq mi</a:t>
          </a:r>
          <a:endParaRPr lang="en-US" sz="1100"/>
        </a:p>
      </xdr:txBody>
    </xdr:sp>
    <xdr:clientData/>
  </xdr:twoCellAnchor>
  <xdr:twoCellAnchor>
    <xdr:from>
      <xdr:col>12</xdr:col>
      <xdr:colOff>542925</xdr:colOff>
      <xdr:row>15</xdr:row>
      <xdr:rowOff>15875</xdr:rowOff>
    </xdr:from>
    <xdr:to>
      <xdr:col>13</xdr:col>
      <xdr:colOff>247650</xdr:colOff>
      <xdr:row>15</xdr:row>
      <xdr:rowOff>25400</xdr:rowOff>
    </xdr:to>
    <xdr:cxnSp macro="">
      <xdr:nvCxnSpPr>
        <xdr:cNvPr id="247" name="Straight Arrow Connector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CxnSpPr>
          <a:stCxn id="299" idx="3"/>
          <a:endCxn id="240" idx="1"/>
        </xdr:cNvCxnSpPr>
      </xdr:nvCxnSpPr>
      <xdr:spPr>
        <a:xfrm>
          <a:off x="7972425" y="3035300"/>
          <a:ext cx="3238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323850</xdr:colOff>
      <xdr:row>8</xdr:row>
      <xdr:rowOff>41148</xdr:rowOff>
    </xdr:from>
    <xdr:to>
      <xdr:col>11</xdr:col>
      <xdr:colOff>323850</xdr:colOff>
      <xdr:row>11</xdr:row>
      <xdr:rowOff>53975</xdr:rowOff>
    </xdr:to>
    <xdr:cxnSp macro="">
      <xdr:nvCxnSpPr>
        <xdr:cNvPr id="319" name="Straight Arrow Connector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CxnSpPr>
          <a:stCxn id="299" idx="0"/>
          <a:endCxn id="229" idx="2"/>
        </xdr:cNvCxnSpPr>
      </xdr:nvCxnSpPr>
      <xdr:spPr>
        <a:xfrm flipV="1">
          <a:off x="7134225" y="1688973"/>
          <a:ext cx="0" cy="6224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120650</xdr:colOff>
      <xdr:row>31</xdr:row>
      <xdr:rowOff>185738</xdr:rowOff>
    </xdr:from>
    <xdr:to>
      <xdr:col>16</xdr:col>
      <xdr:colOff>228600</xdr:colOff>
      <xdr:row>32</xdr:row>
      <xdr:rowOff>0</xdr:rowOff>
    </xdr:to>
    <xdr:cxnSp macro="">
      <xdr:nvCxnSpPr>
        <xdr:cNvPr id="231" name="Straight Arrow Connector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CxnSpPr>
          <a:stCxn id="24" idx="3"/>
          <a:endCxn id="25" idx="1"/>
        </xdr:cNvCxnSpPr>
      </xdr:nvCxnSpPr>
      <xdr:spPr>
        <a:xfrm>
          <a:off x="9407525" y="6253163"/>
          <a:ext cx="727075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64</xdr:row>
      <xdr:rowOff>133350</xdr:rowOff>
    </xdr:from>
    <xdr:to>
      <xdr:col>3</xdr:col>
      <xdr:colOff>295275</xdr:colOff>
      <xdr:row>71</xdr:row>
      <xdr:rowOff>19049</xdr:rowOff>
    </xdr:to>
    <xdr:sp macro="" textlink="">
      <xdr:nvSpPr>
        <xdr:cNvPr id="303" name="Flowchart: Decision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/>
      </xdr:nvSpPr>
      <xdr:spPr>
        <a:xfrm>
          <a:off x="76200" y="12239625"/>
          <a:ext cx="2076450" cy="1219199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Is upstream storage a consideration?</a:t>
          </a:r>
        </a:p>
      </xdr:txBody>
    </xdr:sp>
    <xdr:clientData/>
  </xdr:twoCellAnchor>
  <xdr:twoCellAnchor>
    <xdr:from>
      <xdr:col>5</xdr:col>
      <xdr:colOff>257174</xdr:colOff>
      <xdr:row>52</xdr:row>
      <xdr:rowOff>169862</xdr:rowOff>
    </xdr:from>
    <xdr:to>
      <xdr:col>7</xdr:col>
      <xdr:colOff>31750</xdr:colOff>
      <xdr:row>53</xdr:row>
      <xdr:rowOff>14288</xdr:rowOff>
    </xdr:to>
    <xdr:cxnSp macro="">
      <xdr:nvCxnSpPr>
        <xdr:cNvPr id="228" name="Straight Arrow Connector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CxnSpPr>
          <a:stCxn id="9" idx="3"/>
          <a:endCxn id="15" idx="1"/>
        </xdr:cNvCxnSpPr>
      </xdr:nvCxnSpPr>
      <xdr:spPr>
        <a:xfrm>
          <a:off x="3352799" y="10237787"/>
          <a:ext cx="1012826" cy="349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565149</xdr:colOff>
      <xdr:row>64</xdr:row>
      <xdr:rowOff>85724</xdr:rowOff>
    </xdr:from>
    <xdr:to>
      <xdr:col>11</xdr:col>
      <xdr:colOff>104774</xdr:colOff>
      <xdr:row>71</xdr:row>
      <xdr:rowOff>76199</xdr:rowOff>
    </xdr:to>
    <xdr:sp macro="" textlink="">
      <xdr:nvSpPr>
        <xdr:cNvPr id="261" name="Flowchart: Decision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>
        <a:xfrm>
          <a:off x="4899024" y="12534899"/>
          <a:ext cx="2016125" cy="1323975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Is Rational method used for peak flow?</a:t>
          </a:r>
        </a:p>
      </xdr:txBody>
    </xdr:sp>
    <xdr:clientData/>
  </xdr:twoCellAnchor>
  <xdr:twoCellAnchor>
    <xdr:from>
      <xdr:col>4</xdr:col>
      <xdr:colOff>523875</xdr:colOff>
      <xdr:row>82</xdr:row>
      <xdr:rowOff>104775</xdr:rowOff>
    </xdr:from>
    <xdr:to>
      <xdr:col>7</xdr:col>
      <xdr:colOff>9525</xdr:colOff>
      <xdr:row>87</xdr:row>
      <xdr:rowOff>38100</xdr:rowOff>
    </xdr:to>
    <xdr:sp macro="" textlink="">
      <xdr:nvSpPr>
        <xdr:cNvPr id="278" name="Flowchart: Decision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>
        <a:xfrm>
          <a:off x="3000375" y="15982950"/>
          <a:ext cx="1343025" cy="885825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Urban Area</a:t>
          </a:r>
        </a:p>
      </xdr:txBody>
    </xdr:sp>
    <xdr:clientData/>
  </xdr:twoCellAnchor>
  <xdr:twoCellAnchor>
    <xdr:from>
      <xdr:col>4</xdr:col>
      <xdr:colOff>342900</xdr:colOff>
      <xdr:row>91</xdr:row>
      <xdr:rowOff>180974</xdr:rowOff>
    </xdr:from>
    <xdr:to>
      <xdr:col>7</xdr:col>
      <xdr:colOff>196850</xdr:colOff>
      <xdr:row>97</xdr:row>
      <xdr:rowOff>76199</xdr:rowOff>
    </xdr:to>
    <xdr:sp macro="" textlink="">
      <xdr:nvSpPr>
        <xdr:cNvPr id="284" name="Flowchart: Decision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/>
      </xdr:nvSpPr>
      <xdr:spPr>
        <a:xfrm>
          <a:off x="2819400" y="17773649"/>
          <a:ext cx="1711325" cy="1038225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Large rural area</a:t>
          </a:r>
        </a:p>
      </xdr:txBody>
    </xdr:sp>
    <xdr:clientData/>
  </xdr:twoCellAnchor>
  <xdr:twoCellAnchor>
    <xdr:from>
      <xdr:col>5</xdr:col>
      <xdr:colOff>576263</xdr:colOff>
      <xdr:row>87</xdr:row>
      <xdr:rowOff>38100</xdr:rowOff>
    </xdr:from>
    <xdr:to>
      <xdr:col>5</xdr:col>
      <xdr:colOff>579438</xdr:colOff>
      <xdr:row>91</xdr:row>
      <xdr:rowOff>180974</xdr:rowOff>
    </xdr:to>
    <xdr:cxnSp macro="">
      <xdr:nvCxnSpPr>
        <xdr:cNvPr id="286" name="Straight Arrow Connector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CxnSpPr>
          <a:stCxn id="278" idx="2"/>
          <a:endCxn id="284" idx="0"/>
        </xdr:cNvCxnSpPr>
      </xdr:nvCxnSpPr>
      <xdr:spPr>
        <a:xfrm>
          <a:off x="3671888" y="16868775"/>
          <a:ext cx="3175" cy="9048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92</xdr:row>
      <xdr:rowOff>9525</xdr:rowOff>
    </xdr:from>
    <xdr:to>
      <xdr:col>17</xdr:col>
      <xdr:colOff>38100</xdr:colOff>
      <xdr:row>97</xdr:row>
      <xdr:rowOff>38098</xdr:rowOff>
    </xdr:to>
    <xdr:sp macro="" textlink="">
      <xdr:nvSpPr>
        <xdr:cNvPr id="181" name="Flowchart: Process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8686800" y="17792700"/>
          <a:ext cx="1876425" cy="981073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aseline="0"/>
        </a:p>
        <a:p>
          <a:pPr algn="l"/>
          <a:r>
            <a:rPr lang="en-US" sz="1100"/>
            <a:t>Enter DA, read peak flow, then  enter DA, 10-85%</a:t>
          </a:r>
          <a:r>
            <a:rPr lang="en-US" sz="1100" baseline="0"/>
            <a:t> channel slope</a:t>
          </a:r>
          <a:r>
            <a:rPr lang="en-US" sz="1100"/>
            <a:t> at proper location</a:t>
          </a:r>
          <a:r>
            <a:rPr lang="en-US" sz="1100" baseline="0"/>
            <a:t>  and read </a:t>
          </a:r>
          <a:r>
            <a:rPr lang="en-US" sz="1100"/>
            <a:t>lag time.</a:t>
          </a:r>
        </a:p>
      </xdr:txBody>
    </xdr:sp>
    <xdr:clientData/>
  </xdr:twoCellAnchor>
  <xdr:twoCellAnchor>
    <xdr:from>
      <xdr:col>17</xdr:col>
      <xdr:colOff>38100</xdr:colOff>
      <xdr:row>94</xdr:row>
      <xdr:rowOff>119062</xdr:rowOff>
    </xdr:from>
    <xdr:to>
      <xdr:col>18</xdr:col>
      <xdr:colOff>232128</xdr:colOff>
      <xdr:row>94</xdr:row>
      <xdr:rowOff>133350</xdr:rowOff>
    </xdr:to>
    <xdr:cxnSp macro="">
      <xdr:nvCxnSpPr>
        <xdr:cNvPr id="332" name="Straight Arrow Connector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CxnSpPr>
          <a:stCxn id="181" idx="3"/>
          <a:endCxn id="79" idx="1"/>
        </xdr:cNvCxnSpPr>
      </xdr:nvCxnSpPr>
      <xdr:spPr>
        <a:xfrm>
          <a:off x="10563225" y="18283237"/>
          <a:ext cx="813153" cy="1428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579120</xdr:colOff>
      <xdr:row>97</xdr:row>
      <xdr:rowOff>76199</xdr:rowOff>
    </xdr:from>
    <xdr:to>
      <xdr:col>5</xdr:col>
      <xdr:colOff>579438</xdr:colOff>
      <xdr:row>100</xdr:row>
      <xdr:rowOff>66675</xdr:rowOff>
    </xdr:to>
    <xdr:cxnSp macro="">
      <xdr:nvCxnSpPr>
        <xdr:cNvPr id="346" name="Straight Arrow Connector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CxnSpPr>
          <a:stCxn id="284" idx="2"/>
          <a:endCxn id="87" idx="0"/>
        </xdr:cNvCxnSpPr>
      </xdr:nvCxnSpPr>
      <xdr:spPr>
        <a:xfrm flipH="1">
          <a:off x="3674745" y="18811874"/>
          <a:ext cx="318" cy="5619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126999</xdr:colOff>
      <xdr:row>50</xdr:row>
      <xdr:rowOff>6349</xdr:rowOff>
    </xdr:from>
    <xdr:to>
      <xdr:col>5</xdr:col>
      <xdr:colOff>257174</xdr:colOff>
      <xdr:row>55</xdr:row>
      <xdr:rowOff>142874</xdr:rowOff>
    </xdr:to>
    <xdr:sp macro="" textlink="">
      <xdr:nvSpPr>
        <xdr:cNvPr id="9" name="Flowchart: Manual Inpu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984374" y="9693274"/>
          <a:ext cx="1368425" cy="1089025"/>
        </a:xfrm>
        <a:prstGeom prst="flowChartManualInp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Soil</a:t>
          </a:r>
          <a:r>
            <a:rPr lang="en-US" sz="1100" baseline="0"/>
            <a:t> </a:t>
          </a:r>
          <a:r>
            <a:rPr lang="en-US" sz="1100"/>
            <a:t>Runoff coefficients from Table</a:t>
          </a:r>
          <a:r>
            <a:rPr lang="en-US" sz="1100" baseline="0"/>
            <a:t> 4-4 of Hydraulic Manual</a:t>
          </a:r>
          <a:endParaRPr lang="en-US" sz="1100"/>
        </a:p>
      </xdr:txBody>
    </xdr:sp>
    <xdr:clientData/>
  </xdr:twoCellAnchor>
  <xdr:twoCellAnchor>
    <xdr:from>
      <xdr:col>11</xdr:col>
      <xdr:colOff>104774</xdr:colOff>
      <xdr:row>67</xdr:row>
      <xdr:rowOff>176212</xdr:rowOff>
    </xdr:from>
    <xdr:to>
      <xdr:col>12</xdr:col>
      <xdr:colOff>285750</xdr:colOff>
      <xdr:row>68</xdr:row>
      <xdr:rowOff>9525</xdr:rowOff>
    </xdr:to>
    <xdr:cxnSp macro="">
      <xdr:nvCxnSpPr>
        <xdr:cNvPr id="225" name="Straight Arrow Connector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CxnSpPr>
          <a:stCxn id="261" idx="3"/>
          <a:endCxn id="58" idx="1"/>
        </xdr:cNvCxnSpPr>
      </xdr:nvCxnSpPr>
      <xdr:spPr>
        <a:xfrm>
          <a:off x="6915149" y="13196887"/>
          <a:ext cx="800101" cy="238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561975</xdr:colOff>
      <xdr:row>67</xdr:row>
      <xdr:rowOff>157163</xdr:rowOff>
    </xdr:from>
    <xdr:to>
      <xdr:col>7</xdr:col>
      <xdr:colOff>565149</xdr:colOff>
      <xdr:row>67</xdr:row>
      <xdr:rowOff>176212</xdr:rowOff>
    </xdr:to>
    <xdr:cxnSp macro="">
      <xdr:nvCxnSpPr>
        <xdr:cNvPr id="254" name="Straight Arrow Connector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CxnSpPr>
          <a:stCxn id="249" idx="6"/>
          <a:endCxn id="261" idx="1"/>
        </xdr:cNvCxnSpPr>
      </xdr:nvCxnSpPr>
      <xdr:spPr>
        <a:xfrm>
          <a:off x="4276725" y="13177838"/>
          <a:ext cx="622299" cy="190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371475</xdr:colOff>
      <xdr:row>68</xdr:row>
      <xdr:rowOff>9525</xdr:rowOff>
    </xdr:from>
    <xdr:to>
      <xdr:col>17</xdr:col>
      <xdr:colOff>412751</xdr:colOff>
      <xdr:row>68</xdr:row>
      <xdr:rowOff>19051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>
          <a:stCxn id="58" idx="3"/>
          <a:endCxn id="90" idx="1"/>
        </xdr:cNvCxnSpPr>
      </xdr:nvCxnSpPr>
      <xdr:spPr>
        <a:xfrm>
          <a:off x="10277475" y="13220700"/>
          <a:ext cx="660401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562928</xdr:colOff>
      <xdr:row>71</xdr:row>
      <xdr:rowOff>76199</xdr:rowOff>
    </xdr:from>
    <xdr:to>
      <xdr:col>9</xdr:col>
      <xdr:colOff>334962</xdr:colOff>
      <xdr:row>75</xdr:row>
      <xdr:rowOff>91440</xdr:rowOff>
    </xdr:to>
    <xdr:cxnSp macro="">
      <xdr:nvCxnSpPr>
        <xdr:cNvPr id="259" name="Straight Arrow Connector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CxnSpPr>
          <a:stCxn id="261" idx="2"/>
          <a:endCxn id="165" idx="0"/>
        </xdr:cNvCxnSpPr>
      </xdr:nvCxnSpPr>
      <xdr:spPr>
        <a:xfrm flipH="1">
          <a:off x="3658553" y="13858874"/>
          <a:ext cx="2248534" cy="77724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75</xdr:row>
      <xdr:rowOff>91440</xdr:rowOff>
    </xdr:from>
    <xdr:to>
      <xdr:col>7</xdr:col>
      <xdr:colOff>40005</xdr:colOff>
      <xdr:row>78</xdr:row>
      <xdr:rowOff>142875</xdr:rowOff>
    </xdr:to>
    <xdr:sp macro="" textlink="">
      <xdr:nvSpPr>
        <xdr:cNvPr id="165" name="Flowchart: Process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>
        <a:xfrm>
          <a:off x="2943225" y="14636115"/>
          <a:ext cx="1430655" cy="622935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Determine 10 - 85 % channel slope, S</a:t>
          </a:r>
        </a:p>
      </xdr:txBody>
    </xdr:sp>
    <xdr:clientData/>
  </xdr:twoCellAnchor>
  <xdr:twoCellAnchor>
    <xdr:from>
      <xdr:col>4</xdr:col>
      <xdr:colOff>415290</xdr:colOff>
      <xdr:row>100</xdr:row>
      <xdr:rowOff>66675</xdr:rowOff>
    </xdr:from>
    <xdr:to>
      <xdr:col>7</xdr:col>
      <xdr:colOff>123825</xdr:colOff>
      <xdr:row>104</xdr:row>
      <xdr:rowOff>51435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891790" y="19373850"/>
          <a:ext cx="1565910" cy="7467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Observe if area is North </a:t>
          </a:r>
          <a:r>
            <a:rPr lang="en-US" sz="1100" baseline="0"/>
            <a:t> or South of Fall Line</a:t>
          </a:r>
          <a:endParaRPr lang="en-US" sz="1100"/>
        </a:p>
      </xdr:txBody>
    </xdr:sp>
    <xdr:clientData/>
  </xdr:twoCellAnchor>
  <xdr:twoCellAnchor>
    <xdr:from>
      <xdr:col>8</xdr:col>
      <xdr:colOff>74295</xdr:colOff>
      <xdr:row>100</xdr:row>
      <xdr:rowOff>142875</xdr:rowOff>
    </xdr:from>
    <xdr:to>
      <xdr:col>10</xdr:col>
      <xdr:colOff>89535</xdr:colOff>
      <xdr:row>103</xdr:row>
      <xdr:rowOff>180975</xdr:rowOff>
    </xdr:to>
    <xdr:sp macro="" textlink="">
      <xdr:nvSpPr>
        <xdr:cNvPr id="291" name="Flowchart: Process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>
        <a:xfrm>
          <a:off x="5027295" y="19450050"/>
          <a:ext cx="1253490" cy="6096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Check DA and S Ranges</a:t>
          </a:r>
        </a:p>
      </xdr:txBody>
    </xdr:sp>
    <xdr:clientData/>
  </xdr:twoCellAnchor>
  <xdr:twoCellAnchor>
    <xdr:from>
      <xdr:col>19</xdr:col>
      <xdr:colOff>400050</xdr:colOff>
      <xdr:row>83</xdr:row>
      <xdr:rowOff>21941</xdr:rowOff>
    </xdr:from>
    <xdr:to>
      <xdr:col>22</xdr:col>
      <xdr:colOff>171450</xdr:colOff>
      <xdr:row>86</xdr:row>
      <xdr:rowOff>95250</xdr:rowOff>
    </xdr:to>
    <xdr:sp macro="" textlink="">
      <xdr:nvSpPr>
        <xdr:cNvPr id="162" name="Rounded Rectangle 9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>
          <a:off x="12163425" y="16090616"/>
          <a:ext cx="1628775" cy="644809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 peak</a:t>
          </a:r>
          <a:r>
            <a:rPr lang="en-US" sz="1100" baseline="0"/>
            <a:t> flow, LT &amp; DA. Read total volume &amp; direct runoff</a:t>
          </a:r>
          <a:endParaRPr lang="en-US" sz="1100"/>
        </a:p>
      </xdr:txBody>
    </xdr:sp>
    <xdr:clientData/>
  </xdr:twoCellAnchor>
  <xdr:twoCellAnchor>
    <xdr:from>
      <xdr:col>20</xdr:col>
      <xdr:colOff>199320</xdr:colOff>
      <xdr:row>100</xdr:row>
      <xdr:rowOff>98142</xdr:rowOff>
    </xdr:from>
    <xdr:to>
      <xdr:col>22</xdr:col>
      <xdr:colOff>495299</xdr:colOff>
      <xdr:row>103</xdr:row>
      <xdr:rowOff>180976</xdr:rowOff>
    </xdr:to>
    <xdr:sp macro="" textlink="">
      <xdr:nvSpPr>
        <xdr:cNvPr id="168" name="Rounded Rectangle 95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12581820" y="19405317"/>
          <a:ext cx="1534229" cy="654334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 peak</a:t>
          </a:r>
          <a:r>
            <a:rPr lang="en-US" sz="1100" baseline="0"/>
            <a:t> flow, LT &amp; DA. Read total volume &amp; direct runoff</a:t>
          </a:r>
          <a:endParaRPr lang="en-US" sz="1100"/>
        </a:p>
      </xdr:txBody>
    </xdr:sp>
    <xdr:clientData/>
  </xdr:twoCellAnchor>
  <xdr:twoCellAnchor>
    <xdr:from>
      <xdr:col>3</xdr:col>
      <xdr:colOff>295275</xdr:colOff>
      <xdr:row>67</xdr:row>
      <xdr:rowOff>157163</xdr:rowOff>
    </xdr:from>
    <xdr:to>
      <xdr:col>4</xdr:col>
      <xdr:colOff>276225</xdr:colOff>
      <xdr:row>67</xdr:row>
      <xdr:rowOff>171450</xdr:rowOff>
    </xdr:to>
    <xdr:cxnSp macro="">
      <xdr:nvCxnSpPr>
        <xdr:cNvPr id="279" name="Straight Arrow Connector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CxnSpPr>
          <a:stCxn id="303" idx="3"/>
          <a:endCxn id="249" idx="2"/>
        </xdr:cNvCxnSpPr>
      </xdr:nvCxnSpPr>
      <xdr:spPr>
        <a:xfrm flipV="1">
          <a:off x="2152650" y="13177838"/>
          <a:ext cx="600075" cy="142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123826</xdr:colOff>
      <xdr:row>43</xdr:row>
      <xdr:rowOff>142875</xdr:rowOff>
    </xdr:from>
    <xdr:to>
      <xdr:col>5</xdr:col>
      <xdr:colOff>333376</xdr:colOff>
      <xdr:row>49</xdr:row>
      <xdr:rowOff>38100</xdr:rowOff>
    </xdr:to>
    <xdr:sp macro="" textlink="">
      <xdr:nvSpPr>
        <xdr:cNvPr id="127" name="Flowchart: Document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1981201" y="8496300"/>
          <a:ext cx="1447800" cy="1038225"/>
        </a:xfrm>
        <a:prstGeom prst="flowChartDocumen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i="1"/>
            <a:t>Determination of Runoff Coefficient C </a:t>
          </a:r>
          <a:r>
            <a:rPr lang="en-US" sz="1100" i="1" baseline="0"/>
            <a:t>  with the Web Soil Survey </a:t>
          </a:r>
          <a:endParaRPr lang="en-US" sz="1100" i="1"/>
        </a:p>
      </xdr:txBody>
    </xdr:sp>
    <xdr:clientData/>
  </xdr:twoCellAnchor>
  <xdr:twoCellAnchor>
    <xdr:from>
      <xdr:col>5</xdr:col>
      <xdr:colOff>333376</xdr:colOff>
      <xdr:row>46</xdr:row>
      <xdr:rowOff>90488</xdr:rowOff>
    </xdr:from>
    <xdr:to>
      <xdr:col>7</xdr:col>
      <xdr:colOff>31750</xdr:colOff>
      <xdr:row>53</xdr:row>
      <xdr:rowOff>14288</xdr:rowOff>
    </xdr:to>
    <xdr:cxnSp macro="">
      <xdr:nvCxnSpPr>
        <xdr:cNvPr id="321" name="Straight Arrow Connector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CxnSpPr>
          <a:stCxn id="127" idx="3"/>
          <a:endCxn id="15" idx="1"/>
        </xdr:cNvCxnSpPr>
      </xdr:nvCxnSpPr>
      <xdr:spPr>
        <a:xfrm>
          <a:off x="3429001" y="9015413"/>
          <a:ext cx="936624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581025</xdr:colOff>
      <xdr:row>31</xdr:row>
      <xdr:rowOff>180976</xdr:rowOff>
    </xdr:from>
    <xdr:to>
      <xdr:col>10</xdr:col>
      <xdr:colOff>38099</xdr:colOff>
      <xdr:row>31</xdr:row>
      <xdr:rowOff>187325</xdr:rowOff>
    </xdr:to>
    <xdr:cxnSp macro="">
      <xdr:nvCxnSpPr>
        <xdr:cNvPr id="233" name="Straight Arrow Connector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CxnSpPr>
          <a:stCxn id="275" idx="3"/>
          <a:endCxn id="251" idx="1"/>
        </xdr:cNvCxnSpPr>
      </xdr:nvCxnSpPr>
      <xdr:spPr>
        <a:xfrm flipV="1">
          <a:off x="5534025" y="6248401"/>
          <a:ext cx="695324" cy="63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400050</xdr:colOff>
      <xdr:row>43</xdr:row>
      <xdr:rowOff>180975</xdr:rowOff>
    </xdr:from>
    <xdr:to>
      <xdr:col>15</xdr:col>
      <xdr:colOff>371475</xdr:colOff>
      <xdr:row>47</xdr:row>
      <xdr:rowOff>98298</xdr:rowOff>
    </xdr:to>
    <xdr:sp macro="" textlink="">
      <xdr:nvSpPr>
        <xdr:cNvPr id="292" name="Flowchart: Process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>
        <a:xfrm>
          <a:off x="8448675" y="8534400"/>
          <a:ext cx="1209675" cy="679323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Determine impervios areas C </a:t>
          </a:r>
        </a:p>
      </xdr:txBody>
    </xdr:sp>
    <xdr:clientData/>
  </xdr:twoCellAnchor>
  <xdr:twoCellAnchor>
    <xdr:from>
      <xdr:col>12</xdr:col>
      <xdr:colOff>123825</xdr:colOff>
      <xdr:row>45</xdr:row>
      <xdr:rowOff>134761</xdr:rowOff>
    </xdr:from>
    <xdr:to>
      <xdr:col>13</xdr:col>
      <xdr:colOff>400050</xdr:colOff>
      <xdr:row>45</xdr:row>
      <xdr:rowOff>139637</xdr:rowOff>
    </xdr:to>
    <xdr:cxnSp macro="">
      <xdr:nvCxnSpPr>
        <xdr:cNvPr id="298" name="Straight Arrow Connector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CxnSpPr>
          <a:stCxn id="13" idx="3"/>
          <a:endCxn id="292" idx="1"/>
        </xdr:cNvCxnSpPr>
      </xdr:nvCxnSpPr>
      <xdr:spPr>
        <a:xfrm>
          <a:off x="7553325" y="8869186"/>
          <a:ext cx="895350" cy="48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390525</xdr:colOff>
      <xdr:row>5</xdr:row>
      <xdr:rowOff>0</xdr:rowOff>
    </xdr:from>
    <xdr:to>
      <xdr:col>12</xdr:col>
      <xdr:colOff>257175</xdr:colOff>
      <xdr:row>8</xdr:row>
      <xdr:rowOff>41148</xdr:rowOff>
    </xdr:to>
    <xdr:sp macro="" textlink="">
      <xdr:nvSpPr>
        <xdr:cNvPr id="229" name="Flowchart: Process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>
        <a:xfrm>
          <a:off x="6581775" y="1076325"/>
          <a:ext cx="1104900" cy="612648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Use 2010 Urban Regression Equations sheet</a:t>
          </a:r>
        </a:p>
      </xdr:txBody>
    </xdr:sp>
    <xdr:clientData/>
  </xdr:twoCellAnchor>
  <xdr:twoCellAnchor>
    <xdr:from>
      <xdr:col>12</xdr:col>
      <xdr:colOff>257175</xdr:colOff>
      <xdr:row>6</xdr:row>
      <xdr:rowOff>95250</xdr:rowOff>
    </xdr:from>
    <xdr:to>
      <xdr:col>13</xdr:col>
      <xdr:colOff>527050</xdr:colOff>
      <xdr:row>6</xdr:row>
      <xdr:rowOff>115824</xdr:rowOff>
    </xdr:to>
    <xdr:cxnSp macro="">
      <xdr:nvCxnSpPr>
        <xdr:cNvPr id="238" name="Straight Arrow Connector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CxnSpPr>
          <a:stCxn id="229" idx="3"/>
          <a:endCxn id="4" idx="1"/>
        </xdr:cNvCxnSpPr>
      </xdr:nvCxnSpPr>
      <xdr:spPr>
        <a:xfrm flipV="1">
          <a:off x="7686675" y="1362075"/>
          <a:ext cx="889000" cy="205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168275</xdr:colOff>
      <xdr:row>15</xdr:row>
      <xdr:rowOff>28576</xdr:rowOff>
    </xdr:from>
    <xdr:to>
      <xdr:col>23</xdr:col>
      <xdr:colOff>40216</xdr:colOff>
      <xdr:row>15</xdr:row>
      <xdr:rowOff>44450</xdr:rowOff>
    </xdr:to>
    <xdr:cxnSp macro="">
      <xdr:nvCxnSpPr>
        <xdr:cNvPr id="93" name="Straight Arrow Connector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CxnSpPr>
          <a:stCxn id="7" idx="3"/>
          <a:endCxn id="8" idx="1"/>
        </xdr:cNvCxnSpPr>
      </xdr:nvCxnSpPr>
      <xdr:spPr>
        <a:xfrm>
          <a:off x="13789025" y="3048001"/>
          <a:ext cx="491066" cy="158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379413</xdr:colOff>
      <xdr:row>18</xdr:row>
      <xdr:rowOff>165100</xdr:rowOff>
    </xdr:from>
    <xdr:to>
      <xdr:col>14</xdr:col>
      <xdr:colOff>392113</xdr:colOff>
      <xdr:row>21</xdr:row>
      <xdr:rowOff>142876</xdr:rowOff>
    </xdr:to>
    <xdr:cxnSp macro="">
      <xdr:nvCxnSpPr>
        <xdr:cNvPr id="290" name="Straight Arrow Connector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CxnSpPr>
          <a:stCxn id="240" idx="2"/>
          <a:endCxn id="42" idx="0"/>
        </xdr:cNvCxnSpPr>
      </xdr:nvCxnSpPr>
      <xdr:spPr>
        <a:xfrm flipH="1">
          <a:off x="9047163" y="3756025"/>
          <a:ext cx="12700" cy="5492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381000</xdr:colOff>
      <xdr:row>13</xdr:row>
      <xdr:rowOff>95250</xdr:rowOff>
    </xdr:from>
    <xdr:to>
      <xdr:col>19</xdr:col>
      <xdr:colOff>28575</xdr:colOff>
      <xdr:row>16</xdr:row>
      <xdr:rowOff>152400</xdr:rowOff>
    </xdr:to>
    <xdr:sp macro="" textlink="">
      <xdr:nvSpPr>
        <xdr:cNvPr id="305" name="Flowchart: Process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>
        <a:xfrm>
          <a:off x="10287000" y="2733675"/>
          <a:ext cx="1504950" cy="6286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Use 2020 Large Rural Regression Eqs. sheet </a:t>
          </a:r>
        </a:p>
      </xdr:txBody>
    </xdr:sp>
    <xdr:clientData/>
  </xdr:twoCellAnchor>
  <xdr:twoCellAnchor>
    <xdr:from>
      <xdr:col>19</xdr:col>
      <xdr:colOff>28575</xdr:colOff>
      <xdr:row>15</xdr:row>
      <xdr:rowOff>28575</xdr:rowOff>
    </xdr:from>
    <xdr:to>
      <xdr:col>19</xdr:col>
      <xdr:colOff>381000</xdr:colOff>
      <xdr:row>15</xdr:row>
      <xdr:rowOff>28576</xdr:rowOff>
    </xdr:to>
    <xdr:cxnSp macro="">
      <xdr:nvCxnSpPr>
        <xdr:cNvPr id="309" name="Straight Arrow Connector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CxnSpPr>
          <a:stCxn id="305" idx="3"/>
          <a:endCxn id="7" idx="1"/>
        </xdr:cNvCxnSpPr>
      </xdr:nvCxnSpPr>
      <xdr:spPr>
        <a:xfrm>
          <a:off x="11791950" y="3048000"/>
          <a:ext cx="3524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342900</xdr:colOff>
      <xdr:row>21</xdr:row>
      <xdr:rowOff>114300</xdr:rowOff>
    </xdr:from>
    <xdr:to>
      <xdr:col>18</xdr:col>
      <xdr:colOff>514350</xdr:colOff>
      <xdr:row>24</xdr:row>
      <xdr:rowOff>123825</xdr:rowOff>
    </xdr:to>
    <xdr:sp macro="" textlink="">
      <xdr:nvSpPr>
        <xdr:cNvPr id="312" name="Flowchart: Process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>
        <a:xfrm>
          <a:off x="10248900" y="4276725"/>
          <a:ext cx="1409700" cy="581025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Use 2020 Small Rural Regression Eqs. sheet </a:t>
          </a:r>
        </a:p>
      </xdr:txBody>
    </xdr:sp>
    <xdr:clientData/>
  </xdr:twoCellAnchor>
  <xdr:twoCellAnchor>
    <xdr:from>
      <xdr:col>15</xdr:col>
      <xdr:colOff>209550</xdr:colOff>
      <xdr:row>23</xdr:row>
      <xdr:rowOff>23813</xdr:rowOff>
    </xdr:from>
    <xdr:to>
      <xdr:col>16</xdr:col>
      <xdr:colOff>342900</xdr:colOff>
      <xdr:row>23</xdr:row>
      <xdr:rowOff>34926</xdr:rowOff>
    </xdr:to>
    <xdr:cxnSp macro="">
      <xdr:nvCxnSpPr>
        <xdr:cNvPr id="314" name="Straight Arrow Connector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CxnSpPr>
          <a:stCxn id="42" idx="3"/>
          <a:endCxn id="312" idx="1"/>
        </xdr:cNvCxnSpPr>
      </xdr:nvCxnSpPr>
      <xdr:spPr>
        <a:xfrm flipV="1">
          <a:off x="9496425" y="4567238"/>
          <a:ext cx="752475" cy="111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514350</xdr:colOff>
      <xdr:row>23</xdr:row>
      <xdr:rowOff>23813</xdr:rowOff>
    </xdr:from>
    <xdr:to>
      <xdr:col>19</xdr:col>
      <xdr:colOff>466725</xdr:colOff>
      <xdr:row>23</xdr:row>
      <xdr:rowOff>33337</xdr:rowOff>
    </xdr:to>
    <xdr:cxnSp macro="">
      <xdr:nvCxnSpPr>
        <xdr:cNvPr id="317" name="Straight Arrow Connector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CxnSpPr>
          <a:stCxn id="312" idx="3"/>
          <a:endCxn id="6" idx="1"/>
        </xdr:cNvCxnSpPr>
      </xdr:nvCxnSpPr>
      <xdr:spPr>
        <a:xfrm>
          <a:off x="11658600" y="4567238"/>
          <a:ext cx="571500" cy="95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536575</xdr:colOff>
      <xdr:row>15</xdr:row>
      <xdr:rowOff>25400</xdr:rowOff>
    </xdr:from>
    <xdr:to>
      <xdr:col>16</xdr:col>
      <xdr:colOff>381000</xdr:colOff>
      <xdr:row>15</xdr:row>
      <xdr:rowOff>28575</xdr:rowOff>
    </xdr:to>
    <xdr:cxnSp macro="">
      <xdr:nvCxnSpPr>
        <xdr:cNvPr id="232" name="Straight Arrow Connector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CxnSpPr>
          <a:stCxn id="240" idx="3"/>
          <a:endCxn id="305" idx="1"/>
        </xdr:cNvCxnSpPr>
      </xdr:nvCxnSpPr>
      <xdr:spPr>
        <a:xfrm>
          <a:off x="9823450" y="3044825"/>
          <a:ext cx="463550" cy="3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485775</xdr:colOff>
      <xdr:row>12</xdr:row>
      <xdr:rowOff>149225</xdr:rowOff>
    </xdr:from>
    <xdr:to>
      <xdr:col>12</xdr:col>
      <xdr:colOff>76653</xdr:colOff>
      <xdr:row>14</xdr:row>
      <xdr:rowOff>66955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7025" y="2597150"/>
          <a:ext cx="829128" cy="298730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14</xdr:row>
      <xdr:rowOff>15875</xdr:rowOff>
    </xdr:from>
    <xdr:to>
      <xdr:col>12</xdr:col>
      <xdr:colOff>335775</xdr:colOff>
      <xdr:row>15</xdr:row>
      <xdr:rowOff>124105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8425" y="2844800"/>
          <a:ext cx="1316850" cy="298730"/>
        </a:xfrm>
        <a:prstGeom prst="rect">
          <a:avLst/>
        </a:prstGeom>
      </xdr:spPr>
    </xdr:pic>
    <xdr:clientData/>
  </xdr:twoCellAnchor>
  <xdr:twoCellAnchor>
    <xdr:from>
      <xdr:col>18</xdr:col>
      <xdr:colOff>447675</xdr:colOff>
      <xdr:row>84</xdr:row>
      <xdr:rowOff>153846</xdr:rowOff>
    </xdr:from>
    <xdr:to>
      <xdr:col>19</xdr:col>
      <xdr:colOff>400050</xdr:colOff>
      <xdr:row>84</xdr:row>
      <xdr:rowOff>164395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>
          <a:stCxn id="77" idx="3"/>
          <a:endCxn id="162" idx="1"/>
        </xdr:cNvCxnSpPr>
      </xdr:nvCxnSpPr>
      <xdr:spPr>
        <a:xfrm flipV="1">
          <a:off x="11591925" y="16413021"/>
          <a:ext cx="571500" cy="105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276225</xdr:colOff>
      <xdr:row>64</xdr:row>
      <xdr:rowOff>152400</xdr:rowOff>
    </xdr:from>
    <xdr:to>
      <xdr:col>6</xdr:col>
      <xdr:colOff>561975</xdr:colOff>
      <xdr:row>70</xdr:row>
      <xdr:rowOff>161925</xdr:rowOff>
    </xdr:to>
    <xdr:sp macro="" textlink="">
      <xdr:nvSpPr>
        <xdr:cNvPr id="249" name="Flowchart: Connector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/>
      </xdr:nvSpPr>
      <xdr:spPr>
        <a:xfrm>
          <a:off x="2752725" y="12601575"/>
          <a:ext cx="1524000" cy="1152525"/>
        </a:xfrm>
        <a:prstGeom prst="flowChartConnec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Use Peak Flows from Peak Flow Chart Above</a:t>
          </a:r>
        </a:p>
      </xdr:txBody>
    </xdr:sp>
    <xdr:clientData/>
  </xdr:twoCellAnchor>
  <xdr:twoCellAnchor>
    <xdr:from>
      <xdr:col>5</xdr:col>
      <xdr:colOff>562928</xdr:colOff>
      <xdr:row>78</xdr:row>
      <xdr:rowOff>142875</xdr:rowOff>
    </xdr:from>
    <xdr:to>
      <xdr:col>5</xdr:col>
      <xdr:colOff>576263</xdr:colOff>
      <xdr:row>82</xdr:row>
      <xdr:rowOff>104775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stCxn id="165" idx="2"/>
          <a:endCxn id="278" idx="0"/>
        </xdr:cNvCxnSpPr>
      </xdr:nvCxnSpPr>
      <xdr:spPr>
        <a:xfrm>
          <a:off x="3658553" y="15259050"/>
          <a:ext cx="13335" cy="723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457200</xdr:colOff>
      <xdr:row>83</xdr:row>
      <xdr:rowOff>47625</xdr:rowOff>
    </xdr:from>
    <xdr:to>
      <xdr:col>9</xdr:col>
      <xdr:colOff>133350</xdr:colOff>
      <xdr:row>86</xdr:row>
      <xdr:rowOff>88773</xdr:rowOff>
    </xdr:to>
    <xdr:sp macro="" textlink="">
      <xdr:nvSpPr>
        <xdr:cNvPr id="239" name="Flowchart: Process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>
        <a:xfrm>
          <a:off x="4791075" y="16116300"/>
          <a:ext cx="914400" cy="612648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Determine Impervious  Area, IA %</a:t>
          </a:r>
        </a:p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84</xdr:row>
      <xdr:rowOff>163449</xdr:rowOff>
    </xdr:from>
    <xdr:to>
      <xdr:col>7</xdr:col>
      <xdr:colOff>457200</xdr:colOff>
      <xdr:row>84</xdr:row>
      <xdr:rowOff>166688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278" idx="3"/>
          <a:endCxn id="239" idx="1"/>
        </xdr:cNvCxnSpPr>
      </xdr:nvCxnSpPr>
      <xdr:spPr>
        <a:xfrm flipV="1">
          <a:off x="4343400" y="16422624"/>
          <a:ext cx="447675" cy="323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552450</xdr:colOff>
      <xdr:row>100</xdr:row>
      <xdr:rowOff>66675</xdr:rowOff>
    </xdr:from>
    <xdr:to>
      <xdr:col>13</xdr:col>
      <xdr:colOff>561975</xdr:colOff>
      <xdr:row>104</xdr:row>
      <xdr:rowOff>47625</xdr:rowOff>
    </xdr:to>
    <xdr:sp macro="" textlink="">
      <xdr:nvSpPr>
        <xdr:cNvPr id="152" name="Flowchart: Process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6743700" y="19373850"/>
          <a:ext cx="1866900" cy="74295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Determine lag time from location, 10 - 85% channel slope,  and DA</a:t>
          </a:r>
        </a:p>
      </xdr:txBody>
    </xdr:sp>
    <xdr:clientData/>
  </xdr:twoCellAnchor>
  <xdr:twoCellAnchor>
    <xdr:from>
      <xdr:col>11</xdr:col>
      <xdr:colOff>209550</xdr:colOff>
      <xdr:row>92</xdr:row>
      <xdr:rowOff>171449</xdr:rowOff>
    </xdr:from>
    <xdr:to>
      <xdr:col>13</xdr:col>
      <xdr:colOff>266700</xdr:colOff>
      <xdr:row>96</xdr:row>
      <xdr:rowOff>85724</xdr:rowOff>
    </xdr:to>
    <xdr:sp macro="" textlink="">
      <xdr:nvSpPr>
        <xdr:cNvPr id="156" name="Flowchart: Process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7019925" y="17954624"/>
          <a:ext cx="1295400" cy="676275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Check DA and S Ranges</a:t>
          </a:r>
        </a:p>
      </xdr:txBody>
    </xdr:sp>
    <xdr:clientData/>
  </xdr:twoCellAnchor>
  <xdr:twoCellAnchor>
    <xdr:from>
      <xdr:col>22</xdr:col>
      <xdr:colOff>419100</xdr:colOff>
      <xdr:row>92</xdr:row>
      <xdr:rowOff>183866</xdr:rowOff>
    </xdr:from>
    <xdr:to>
      <xdr:col>25</xdr:col>
      <xdr:colOff>190500</xdr:colOff>
      <xdr:row>96</xdr:row>
      <xdr:rowOff>66675</xdr:rowOff>
    </xdr:to>
    <xdr:sp macro="" textlink="">
      <xdr:nvSpPr>
        <xdr:cNvPr id="164" name="Rounded Rectangle 95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14039850" y="17967041"/>
          <a:ext cx="1628775" cy="644809"/>
        </a:xfrm>
        <a:prstGeom prst="roundRect">
          <a:avLst>
            <a:gd name="adj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  peak</a:t>
          </a:r>
          <a:r>
            <a:rPr lang="en-US" sz="1100" baseline="0"/>
            <a:t> flow, LT &amp; DA. Read total volume &amp; direct runoff</a:t>
          </a:r>
          <a:endParaRPr lang="en-US" sz="1100"/>
        </a:p>
      </xdr:txBody>
    </xdr:sp>
    <xdr:clientData/>
  </xdr:twoCellAnchor>
  <xdr:twoCellAnchor>
    <xdr:from>
      <xdr:col>21</xdr:col>
      <xdr:colOff>514350</xdr:colOff>
      <xdr:row>94</xdr:row>
      <xdr:rowOff>125271</xdr:rowOff>
    </xdr:from>
    <xdr:to>
      <xdr:col>22</xdr:col>
      <xdr:colOff>419100</xdr:colOff>
      <xdr:row>94</xdr:row>
      <xdr:rowOff>133350</xdr:rowOff>
    </xdr:to>
    <xdr:cxnSp macro="">
      <xdr:nvCxnSpPr>
        <xdr:cNvPr id="166" name="Straight Arrow Connector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CxnSpPr>
          <a:stCxn id="79" idx="3"/>
          <a:endCxn id="164" idx="1"/>
        </xdr:cNvCxnSpPr>
      </xdr:nvCxnSpPr>
      <xdr:spPr>
        <a:xfrm flipV="1">
          <a:off x="13515975" y="18289446"/>
          <a:ext cx="523875" cy="807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196850</xdr:colOff>
      <xdr:row>94</xdr:row>
      <xdr:rowOff>128587</xdr:rowOff>
    </xdr:from>
    <xdr:to>
      <xdr:col>8</xdr:col>
      <xdr:colOff>167640</xdr:colOff>
      <xdr:row>94</xdr:row>
      <xdr:rowOff>138113</xdr:rowOff>
    </xdr:to>
    <xdr:cxnSp macro="">
      <xdr:nvCxnSpPr>
        <xdr:cNvPr id="277" name="Straight Arrow Connector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CxnSpPr>
          <a:stCxn id="284" idx="3"/>
          <a:endCxn id="66" idx="1"/>
        </xdr:cNvCxnSpPr>
      </xdr:nvCxnSpPr>
      <xdr:spPr>
        <a:xfrm>
          <a:off x="4530725" y="18292762"/>
          <a:ext cx="589915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161925</xdr:colOff>
      <xdr:row>94</xdr:row>
      <xdr:rowOff>128587</xdr:rowOff>
    </xdr:from>
    <xdr:to>
      <xdr:col>11</xdr:col>
      <xdr:colOff>209550</xdr:colOff>
      <xdr:row>94</xdr:row>
      <xdr:rowOff>138113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>
          <a:stCxn id="66" idx="3"/>
          <a:endCxn id="156" idx="1"/>
        </xdr:cNvCxnSpPr>
      </xdr:nvCxnSpPr>
      <xdr:spPr>
        <a:xfrm flipV="1">
          <a:off x="6353175" y="18292762"/>
          <a:ext cx="666750" cy="95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102</xdr:row>
      <xdr:rowOff>59055</xdr:rowOff>
    </xdr:from>
    <xdr:to>
      <xdr:col>8</xdr:col>
      <xdr:colOff>74295</xdr:colOff>
      <xdr:row>102</xdr:row>
      <xdr:rowOff>66675</xdr:rowOff>
    </xdr:to>
    <xdr:cxnSp macro="">
      <xdr:nvCxnSpPr>
        <xdr:cNvPr id="89" name="Straight Arrow Connector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>
          <a:stCxn id="87" idx="3"/>
          <a:endCxn id="291" idx="1"/>
        </xdr:cNvCxnSpPr>
      </xdr:nvCxnSpPr>
      <xdr:spPr>
        <a:xfrm>
          <a:off x="4457700" y="19747230"/>
          <a:ext cx="569595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561975</xdr:colOff>
      <xdr:row>102</xdr:row>
      <xdr:rowOff>57150</xdr:rowOff>
    </xdr:from>
    <xdr:to>
      <xdr:col>15</xdr:col>
      <xdr:colOff>204330</xdr:colOff>
      <xdr:row>102</xdr:row>
      <xdr:rowOff>60960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>
          <a:stCxn id="152" idx="3"/>
          <a:endCxn id="84" idx="1"/>
        </xdr:cNvCxnSpPr>
      </xdr:nvCxnSpPr>
      <xdr:spPr>
        <a:xfrm>
          <a:off x="8610600" y="19745325"/>
          <a:ext cx="880605" cy="38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89535</xdr:colOff>
      <xdr:row>102</xdr:row>
      <xdr:rowOff>57150</xdr:rowOff>
    </xdr:from>
    <xdr:to>
      <xdr:col>10</xdr:col>
      <xdr:colOff>552450</xdr:colOff>
      <xdr:row>102</xdr:row>
      <xdr:rowOff>66675</xdr:rowOff>
    </xdr:to>
    <xdr:cxnSp macro="">
      <xdr:nvCxnSpPr>
        <xdr:cNvPr id="293" name="Straight Arrow Connector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CxnSpPr>
          <a:stCxn id="291" idx="3"/>
          <a:endCxn id="152" idx="1"/>
        </xdr:cNvCxnSpPr>
      </xdr:nvCxnSpPr>
      <xdr:spPr>
        <a:xfrm flipV="1">
          <a:off x="6280785" y="19745325"/>
          <a:ext cx="46291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266700</xdr:colOff>
      <xdr:row>94</xdr:row>
      <xdr:rowOff>119062</xdr:rowOff>
    </xdr:from>
    <xdr:to>
      <xdr:col>14</xdr:col>
      <xdr:colOff>19050</xdr:colOff>
      <xdr:row>94</xdr:row>
      <xdr:rowOff>128587</xdr:rowOff>
    </xdr:to>
    <xdr:cxnSp macro="">
      <xdr:nvCxnSpPr>
        <xdr:cNvPr id="313" name="Straight Arrow Connector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CxnSpPr>
          <a:stCxn id="156" idx="3"/>
          <a:endCxn id="181" idx="1"/>
        </xdr:cNvCxnSpPr>
      </xdr:nvCxnSpPr>
      <xdr:spPr>
        <a:xfrm flipV="1">
          <a:off x="8315325" y="18283237"/>
          <a:ext cx="3714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84</xdr:row>
      <xdr:rowOff>161925</xdr:rowOff>
    </xdr:from>
    <xdr:to>
      <xdr:col>10</xdr:col>
      <xdr:colOff>21873</xdr:colOff>
      <xdr:row>84</xdr:row>
      <xdr:rowOff>163449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stCxn id="239" idx="3"/>
          <a:endCxn id="62" idx="1"/>
        </xdr:cNvCxnSpPr>
      </xdr:nvCxnSpPr>
      <xdr:spPr>
        <a:xfrm flipV="1">
          <a:off x="5705475" y="16421100"/>
          <a:ext cx="507648" cy="15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524228</xdr:colOff>
      <xdr:row>84</xdr:row>
      <xdr:rowOff>161925</xdr:rowOff>
    </xdr:from>
    <xdr:to>
      <xdr:col>12</xdr:col>
      <xdr:colOff>481540</xdr:colOff>
      <xdr:row>84</xdr:row>
      <xdr:rowOff>161925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62" idx="3"/>
          <a:endCxn id="99" idx="1"/>
        </xdr:cNvCxnSpPr>
      </xdr:nvCxnSpPr>
      <xdr:spPr>
        <a:xfrm>
          <a:off x="7334603" y="16421100"/>
          <a:ext cx="57643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552094</xdr:colOff>
      <xdr:row>84</xdr:row>
      <xdr:rowOff>161925</xdr:rowOff>
    </xdr:from>
    <xdr:to>
      <xdr:col>15</xdr:col>
      <xdr:colOff>361951</xdr:colOff>
      <xdr:row>84</xdr:row>
      <xdr:rowOff>164395</xdr:rowOff>
    </xdr:to>
    <xdr:cxnSp macro="">
      <xdr:nvCxnSpPr>
        <xdr:cNvPr id="268" name="Straight Arrow Connector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CxnSpPr>
          <a:stCxn id="99" idx="3"/>
          <a:endCxn id="77" idx="1"/>
        </xdr:cNvCxnSpPr>
      </xdr:nvCxnSpPr>
      <xdr:spPr>
        <a:xfrm>
          <a:off x="9219844" y="16421100"/>
          <a:ext cx="428982" cy="247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38099</xdr:colOff>
      <xdr:row>30</xdr:row>
      <xdr:rowOff>47626</xdr:rowOff>
    </xdr:from>
    <xdr:to>
      <xdr:col>12</xdr:col>
      <xdr:colOff>57150</xdr:colOff>
      <xdr:row>33</xdr:row>
      <xdr:rowOff>123826</xdr:rowOff>
    </xdr:to>
    <xdr:sp macro="" textlink="">
      <xdr:nvSpPr>
        <xdr:cNvPr id="251" name="Flowchart: Process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>
        <a:xfrm>
          <a:off x="6229349" y="5924551"/>
          <a:ext cx="1257301" cy="6477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Determine time of Concentration tc</a:t>
          </a:r>
        </a:p>
      </xdr:txBody>
    </xdr:sp>
    <xdr:clientData/>
  </xdr:twoCellAnchor>
  <xdr:twoCellAnchor>
    <xdr:from>
      <xdr:col>12</xdr:col>
      <xdr:colOff>57150</xdr:colOff>
      <xdr:row>31</xdr:row>
      <xdr:rowOff>180976</xdr:rowOff>
    </xdr:from>
    <xdr:to>
      <xdr:col>12</xdr:col>
      <xdr:colOff>552450</xdr:colOff>
      <xdr:row>31</xdr:row>
      <xdr:rowOff>185738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>
          <a:stCxn id="251" idx="3"/>
          <a:endCxn id="24" idx="1"/>
        </xdr:cNvCxnSpPr>
      </xdr:nvCxnSpPr>
      <xdr:spPr>
        <a:xfrm>
          <a:off x="7486650" y="6248401"/>
          <a:ext cx="495300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38</xdr:row>
      <xdr:rowOff>0</xdr:rowOff>
    </xdr:from>
    <xdr:to>
      <xdr:col>16</xdr:col>
      <xdr:colOff>66675</xdr:colOff>
      <xdr:row>41</xdr:row>
      <xdr:rowOff>161926</xdr:rowOff>
    </xdr:to>
    <xdr:sp macro="" textlink="">
      <xdr:nvSpPr>
        <xdr:cNvPr id="10" name="Flowchart: Document 9">
          <a:extLst>
            <a:ext uri="{FF2B5EF4-FFF2-40B4-BE49-F238E27FC236}">
              <a16:creationId xmlns:a16="http://schemas.microsoft.com/office/drawing/2014/main" id="{5CE6C4D9-EF60-4AB8-B25E-E72F2F83718C}"/>
            </a:ext>
          </a:extLst>
        </xdr:cNvPr>
        <xdr:cNvSpPr/>
      </xdr:nvSpPr>
      <xdr:spPr>
        <a:xfrm>
          <a:off x="8143875" y="7400925"/>
          <a:ext cx="1828800" cy="733426"/>
        </a:xfrm>
        <a:prstGeom prst="flowChartDocumen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Table 3.1 of</a:t>
          </a:r>
          <a:r>
            <a:rPr lang="en-US" sz="1100" baseline="0"/>
            <a:t> HEC 22 or Table 4.4 of Hydraulic Manual</a:t>
          </a:r>
          <a:endParaRPr lang="en-US" sz="1100"/>
        </a:p>
      </xdr:txBody>
    </xdr:sp>
    <xdr:clientData/>
  </xdr:twoCellAnchor>
  <xdr:twoCellAnchor>
    <xdr:from>
      <xdr:col>14</xdr:col>
      <xdr:colOff>385763</xdr:colOff>
      <xdr:row>41</xdr:row>
      <xdr:rowOff>113438</xdr:rowOff>
    </xdr:from>
    <xdr:to>
      <xdr:col>14</xdr:col>
      <xdr:colOff>390525</xdr:colOff>
      <xdr:row>43</xdr:row>
      <xdr:rowOff>180975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D7B1909-F1E4-49C1-B915-883973D97FD0}"/>
            </a:ext>
          </a:extLst>
        </xdr:cNvPr>
        <xdr:cNvCxnSpPr>
          <a:stCxn id="10" idx="2"/>
          <a:endCxn id="292" idx="0"/>
        </xdr:cNvCxnSpPr>
      </xdr:nvCxnSpPr>
      <xdr:spPr>
        <a:xfrm flipH="1">
          <a:off x="9053513" y="8085863"/>
          <a:ext cx="4762" cy="4485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3</xdr:row>
      <xdr:rowOff>28575</xdr:rowOff>
    </xdr:from>
    <xdr:to>
      <xdr:col>12</xdr:col>
      <xdr:colOff>247650</xdr:colOff>
      <xdr:row>47</xdr:row>
      <xdr:rowOff>0</xdr:rowOff>
    </xdr:to>
    <xdr:sp macro="" textlink="">
      <xdr:nvSpPr>
        <xdr:cNvPr id="40961" name="Object 1" hidden="1">
          <a:extLst>
            <a:ext uri="{63B3BB69-23CF-44E3-9099-C40C66FF867C}">
              <a14:compatExt xmlns:a14="http://schemas.microsoft.com/office/drawing/2010/main" spid="_x0000_s40961"/>
            </a:ext>
            <a:ext uri="{FF2B5EF4-FFF2-40B4-BE49-F238E27FC236}">
              <a16:creationId xmlns:a16="http://schemas.microsoft.com/office/drawing/2014/main" id="{00000000-0008-0000-0200-000001A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323850</xdr:colOff>
      <xdr:row>3</xdr:row>
      <xdr:rowOff>19050</xdr:rowOff>
    </xdr:from>
    <xdr:to>
      <xdr:col>23</xdr:col>
      <xdr:colOff>466725</xdr:colOff>
      <xdr:row>47</xdr:row>
      <xdr:rowOff>47625</xdr:rowOff>
    </xdr:to>
    <xdr:sp macro="" textlink="">
      <xdr:nvSpPr>
        <xdr:cNvPr id="40962" name="Object 2" hidden="1">
          <a:extLst>
            <a:ext uri="{63B3BB69-23CF-44E3-9099-C40C66FF867C}">
              <a14:compatExt xmlns:a14="http://schemas.microsoft.com/office/drawing/2010/main" spid="_x0000_s40962"/>
            </a:ext>
            <a:ext uri="{FF2B5EF4-FFF2-40B4-BE49-F238E27FC236}">
              <a16:creationId xmlns:a16="http://schemas.microsoft.com/office/drawing/2014/main" id="{00000000-0008-0000-0200-000002A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3</xdr:row>
      <xdr:rowOff>28575</xdr:rowOff>
    </xdr:from>
    <xdr:to>
      <xdr:col>12</xdr:col>
      <xdr:colOff>247650</xdr:colOff>
      <xdr:row>47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579BB-7FE4-48AF-A7FD-CA8A7AD2B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52475"/>
          <a:ext cx="6191250" cy="8353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13</xdr:col>
      <xdr:colOff>323850</xdr:colOff>
      <xdr:row>3</xdr:row>
      <xdr:rowOff>19050</xdr:rowOff>
    </xdr:from>
    <xdr:to>
      <xdr:col>23</xdr:col>
      <xdr:colOff>466725</xdr:colOff>
      <xdr:row>47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D9B61B-990D-4788-BBEB-F05DA6EFE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742950"/>
          <a:ext cx="6238875" cy="841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7339</xdr:colOff>
      <xdr:row>34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84139" cy="6572250"/>
        </a:xfrm>
        <a:prstGeom prst="rect">
          <a:avLst/>
        </a:prstGeom>
      </xdr:spPr>
    </xdr:pic>
    <xdr:clientData/>
  </xdr:twoCellAnchor>
  <xdr:twoCellAnchor editAs="oneCell">
    <xdr:from>
      <xdr:col>8</xdr:col>
      <xdr:colOff>514350</xdr:colOff>
      <xdr:row>0</xdr:row>
      <xdr:rowOff>0</xdr:rowOff>
    </xdr:from>
    <xdr:to>
      <xdr:col>16</xdr:col>
      <xdr:colOff>468602</xdr:colOff>
      <xdr:row>33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0"/>
          <a:ext cx="4831052" cy="6419850"/>
        </a:xfrm>
        <a:prstGeom prst="rect">
          <a:avLst/>
        </a:prstGeom>
      </xdr:spPr>
    </xdr:pic>
    <xdr:clientData/>
  </xdr:twoCellAnchor>
  <xdr:twoCellAnchor editAs="oneCell">
    <xdr:from>
      <xdr:col>17</xdr:col>
      <xdr:colOff>504825</xdr:colOff>
      <xdr:row>0</xdr:row>
      <xdr:rowOff>0</xdr:rowOff>
    </xdr:from>
    <xdr:to>
      <xdr:col>25</xdr:col>
      <xdr:colOff>332787</xdr:colOff>
      <xdr:row>31</xdr:row>
      <xdr:rowOff>180214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68025" y="0"/>
          <a:ext cx="4704762" cy="60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60324</xdr:colOff>
      <xdr:row>7</xdr:row>
      <xdr:rowOff>9525</xdr:rowOff>
    </xdr:from>
    <xdr:to>
      <xdr:col>17</xdr:col>
      <xdr:colOff>571499</xdr:colOff>
      <xdr:row>33</xdr:row>
      <xdr:rowOff>155575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vmsdata\DW\In%20the%20works\H&amp;H\HYDRO%2013\Hydro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13%20Intensities%20II%20(Recove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Chart"/>
      <sheetName val="All coefficients"/>
      <sheetName val="Point Intensities"/>
      <sheetName val="Andalusia"/>
      <sheetName val="Anniston"/>
      <sheetName val="Birmingham"/>
      <sheetName val="Bridgeport"/>
      <sheetName val="Dauphin Island"/>
      <sheetName val="Dothan"/>
      <sheetName val="Evergreen"/>
      <sheetName val="Eufaula"/>
      <sheetName val="Florence"/>
      <sheetName val="Fort Payne"/>
      <sheetName val="Hamilton"/>
      <sheetName val="Huntsville Intnl"/>
      <sheetName val="Jackson"/>
      <sheetName val="Livingston"/>
      <sheetName val="Mobile"/>
      <sheetName val="Montgomery"/>
      <sheetName val="Oneonta"/>
      <sheetName val="Opelika"/>
      <sheetName val="Prattville"/>
      <sheetName val="Thomasville"/>
      <sheetName val="Troy"/>
      <sheetName val="Tuscaloosa"/>
      <sheetName val=" IA., PD, &amp; Slope"/>
      <sheetName val="C estimator"/>
      <sheetName val="Kirpich tc"/>
      <sheetName val="Fall Line &amp; Flood Regions"/>
      <sheetName val=" Regression Equations"/>
      <sheetName val="Hydrograph"/>
      <sheetName val="Users Guide"/>
      <sheetName val="Sheet2"/>
      <sheetName val="Sheet1"/>
      <sheetName val="Sheet3"/>
      <sheetName val="Hydrograph (2)"/>
    </sheetNames>
    <sheetDataSet>
      <sheetData sheetId="0"/>
      <sheetData sheetId="1">
        <row r="57">
          <cell r="B57" t="str">
            <v>Andalusia 3 W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efficients"/>
      <sheetName val="Coefficients (2)"/>
      <sheetName val="Livingston"/>
      <sheetName val="Dauphin Island"/>
      <sheetName val="Jackson"/>
      <sheetName val="Bridgeport"/>
      <sheetName val="Montgomery WB"/>
      <sheetName val="Birmingham"/>
      <sheetName val="Eufaula"/>
      <sheetName val="Evergreen 50 yr"/>
      <sheetName val="Evergreen"/>
      <sheetName val="Fort Payne"/>
      <sheetName val="Florence"/>
      <sheetName val="Hamilton"/>
      <sheetName val="Oneonta"/>
      <sheetName val="Oxford"/>
      <sheetName val="Opelika"/>
      <sheetName val="Andalusia"/>
      <sheetName val="Thomasville"/>
      <sheetName val="Mobile"/>
      <sheetName val="Dothan"/>
      <sheetName val="Huntsville"/>
      <sheetName val="Tuscaloosa"/>
      <sheetName val="Prattville"/>
      <sheetName val="Troy"/>
      <sheetName val="Mount Vern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 t="str">
            <v>31.4449˚</v>
          </cell>
          <cell r="I2" t="str">
            <v>86.9532˚</v>
          </cell>
        </row>
      </sheetData>
      <sheetData sheetId="11"/>
      <sheetData sheetId="12"/>
      <sheetData sheetId="13"/>
      <sheetData sheetId="14">
        <row r="2">
          <cell r="B2" t="str">
            <v>Oneonta</v>
          </cell>
          <cell r="G2" t="str">
            <v>33.9478˚</v>
          </cell>
          <cell r="I2" t="str">
            <v>86.4692˚</v>
          </cell>
        </row>
      </sheetData>
      <sheetData sheetId="15"/>
      <sheetData sheetId="16"/>
      <sheetData sheetId="17">
        <row r="2">
          <cell r="G2" t="str">
            <v>31.3067˚</v>
          </cell>
          <cell r="I2" t="str">
            <v>86.5222˚</v>
          </cell>
        </row>
      </sheetData>
      <sheetData sheetId="18"/>
      <sheetData sheetId="19"/>
      <sheetData sheetId="20"/>
      <sheetData sheetId="21">
        <row r="2">
          <cell r="G2" t="str">
            <v>34.6439˚</v>
          </cell>
          <cell r="I2" t="str">
            <v>86.7861˚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B3B9-85EF-47E0-86B4-31B905D2DFB1}">
  <dimension ref="B2:AB100"/>
  <sheetViews>
    <sheetView showGridLines="0" tabSelected="1" topLeftCell="A12" zoomScaleNormal="100" workbookViewId="0">
      <selection activeCell="B37" sqref="B37"/>
    </sheetView>
  </sheetViews>
  <sheetFormatPr defaultColWidth="9.28515625" defaultRowHeight="15" x14ac:dyDescent="0.25"/>
  <sheetData>
    <row r="2" spans="2:25" ht="22.5" x14ac:dyDescent="0.3">
      <c r="K2" s="456" t="s">
        <v>348</v>
      </c>
    </row>
    <row r="3" spans="2:25" ht="15.75" x14ac:dyDescent="0.25">
      <c r="B3" s="458" t="s">
        <v>595</v>
      </c>
    </row>
    <row r="4" spans="2:25" x14ac:dyDescent="0.25">
      <c r="B4" t="s">
        <v>349</v>
      </c>
      <c r="P4" s="17" t="s">
        <v>591</v>
      </c>
      <c r="S4" t="s">
        <v>593</v>
      </c>
    </row>
    <row r="5" spans="2:25" ht="16.5" x14ac:dyDescent="0.3">
      <c r="B5" t="s">
        <v>350</v>
      </c>
      <c r="J5" s="457"/>
    </row>
    <row r="6" spans="2:25" x14ac:dyDescent="0.25">
      <c r="B6" t="s">
        <v>351</v>
      </c>
    </row>
    <row r="7" spans="2:25" x14ac:dyDescent="0.25">
      <c r="B7" t="s">
        <v>352</v>
      </c>
    </row>
    <row r="8" spans="2:25" x14ac:dyDescent="0.25">
      <c r="B8" t="s">
        <v>353</v>
      </c>
    </row>
    <row r="9" spans="2:25" ht="18" x14ac:dyDescent="0.35">
      <c r="B9" t="s">
        <v>354</v>
      </c>
    </row>
    <row r="10" spans="2:25" x14ac:dyDescent="0.25">
      <c r="B10" t="s">
        <v>359</v>
      </c>
    </row>
    <row r="11" spans="2:25" x14ac:dyDescent="0.25">
      <c r="B11" t="s">
        <v>360</v>
      </c>
      <c r="L11" s="53" t="s">
        <v>356</v>
      </c>
    </row>
    <row r="12" spans="2:25" x14ac:dyDescent="0.25">
      <c r="I12" t="s">
        <v>606</v>
      </c>
      <c r="X12" s="36" t="s">
        <v>604</v>
      </c>
    </row>
    <row r="13" spans="2:25" x14ac:dyDescent="0.25">
      <c r="I13" s="36" t="s">
        <v>622</v>
      </c>
      <c r="U13" s="36" t="s">
        <v>591</v>
      </c>
      <c r="Y13" s="53" t="s">
        <v>605</v>
      </c>
    </row>
    <row r="14" spans="2:25" x14ac:dyDescent="0.25">
      <c r="O14" t="s">
        <v>128</v>
      </c>
    </row>
    <row r="15" spans="2:25" x14ac:dyDescent="0.25">
      <c r="F15" t="s">
        <v>356</v>
      </c>
      <c r="N15" t="s">
        <v>357</v>
      </c>
      <c r="Q15" t="s">
        <v>356</v>
      </c>
    </row>
    <row r="16" spans="2:25" x14ac:dyDescent="0.25">
      <c r="N16" s="53"/>
      <c r="U16" s="17"/>
    </row>
    <row r="19" spans="6:22" x14ac:dyDescent="0.25">
      <c r="P19" s="36"/>
    </row>
    <row r="20" spans="6:22" x14ac:dyDescent="0.25">
      <c r="O20" s="17" t="s">
        <v>357</v>
      </c>
    </row>
    <row r="21" spans="6:22" x14ac:dyDescent="0.25">
      <c r="N21" s="17"/>
      <c r="T21" s="17"/>
      <c r="U21" s="36"/>
      <c r="V21" s="17" t="s">
        <v>592</v>
      </c>
    </row>
    <row r="22" spans="6:22" x14ac:dyDescent="0.25">
      <c r="P22" s="36"/>
    </row>
    <row r="28" spans="6:22" x14ac:dyDescent="0.25">
      <c r="R28" s="53" t="s">
        <v>614</v>
      </c>
    </row>
    <row r="29" spans="6:22" x14ac:dyDescent="0.25">
      <c r="F29" s="36" t="s">
        <v>357</v>
      </c>
      <c r="Q29" s="36" t="s">
        <v>613</v>
      </c>
      <c r="V29" t="s">
        <v>602</v>
      </c>
    </row>
    <row r="30" spans="6:22" x14ac:dyDescent="0.25">
      <c r="I30" s="65"/>
      <c r="K30" s="97"/>
      <c r="N30" t="s">
        <v>603</v>
      </c>
    </row>
    <row r="35" spans="2:23" x14ac:dyDescent="0.25">
      <c r="V35" s="98"/>
    </row>
    <row r="36" spans="2:23" x14ac:dyDescent="0.25">
      <c r="B36" s="14" t="s">
        <v>348</v>
      </c>
      <c r="T36" t="s">
        <v>128</v>
      </c>
      <c r="W36" s="99"/>
    </row>
    <row r="37" spans="2:23" x14ac:dyDescent="0.25">
      <c r="N37" s="55" t="s">
        <v>695</v>
      </c>
      <c r="O37" s="55"/>
      <c r="P37" s="55"/>
    </row>
    <row r="38" spans="2:23" x14ac:dyDescent="0.25">
      <c r="N38" s="55" t="s">
        <v>696</v>
      </c>
      <c r="O38" s="55"/>
      <c r="P38" s="55"/>
      <c r="Q38" s="55"/>
      <c r="W38" t="s">
        <v>618</v>
      </c>
    </row>
    <row r="42" spans="2:23" x14ac:dyDescent="0.25">
      <c r="E42" s="99" t="s">
        <v>617</v>
      </c>
    </row>
    <row r="43" spans="2:23" x14ac:dyDescent="0.25">
      <c r="E43" s="17" t="s">
        <v>616</v>
      </c>
      <c r="H43" t="s">
        <v>601</v>
      </c>
      <c r="K43" t="s">
        <v>594</v>
      </c>
    </row>
    <row r="44" spans="2:23" x14ac:dyDescent="0.25">
      <c r="Q44" t="s">
        <v>694</v>
      </c>
    </row>
    <row r="50" spans="11:23" x14ac:dyDescent="0.25">
      <c r="U50" t="s">
        <v>623</v>
      </c>
    </row>
    <row r="51" spans="11:23" x14ac:dyDescent="0.25">
      <c r="N51" s="36" t="s">
        <v>624</v>
      </c>
    </row>
    <row r="59" spans="11:23" x14ac:dyDescent="0.25">
      <c r="W59" s="36"/>
    </row>
    <row r="62" spans="11:23" ht="22.5" x14ac:dyDescent="0.3">
      <c r="K62" s="456" t="s">
        <v>355</v>
      </c>
    </row>
    <row r="66" spans="3:28" x14ac:dyDescent="0.25">
      <c r="F66" s="100"/>
      <c r="O66" s="17" t="s">
        <v>689</v>
      </c>
      <c r="S66" s="17" t="s">
        <v>621</v>
      </c>
    </row>
    <row r="68" spans="3:28" x14ac:dyDescent="0.25">
      <c r="D68" s="53" t="s">
        <v>356</v>
      </c>
      <c r="L68" s="17" t="s">
        <v>356</v>
      </c>
      <c r="W68" s="101"/>
    </row>
    <row r="69" spans="3:28" x14ac:dyDescent="0.25">
      <c r="I69" s="17"/>
    </row>
    <row r="71" spans="3:28" x14ac:dyDescent="0.25">
      <c r="D71" s="53"/>
    </row>
    <row r="73" spans="3:28" x14ac:dyDescent="0.25">
      <c r="C73" t="s">
        <v>357</v>
      </c>
      <c r="L73" s="17"/>
    </row>
    <row r="74" spans="3:28" x14ac:dyDescent="0.25">
      <c r="I74" s="17" t="s">
        <v>357</v>
      </c>
      <c r="T74" s="65"/>
    </row>
    <row r="75" spans="3:28" x14ac:dyDescent="0.25">
      <c r="F75" s="36" t="s">
        <v>597</v>
      </c>
    </row>
    <row r="77" spans="3:28" x14ac:dyDescent="0.25">
      <c r="F77" t="s">
        <v>597</v>
      </c>
      <c r="AB77" s="36"/>
    </row>
    <row r="82" spans="2:26" x14ac:dyDescent="0.25">
      <c r="K82" s="65" t="s">
        <v>607</v>
      </c>
      <c r="N82" s="65" t="s">
        <v>607</v>
      </c>
    </row>
    <row r="83" spans="2:26" x14ac:dyDescent="0.25">
      <c r="I83" t="s">
        <v>610</v>
      </c>
      <c r="K83" s="65" t="s">
        <v>358</v>
      </c>
      <c r="N83" s="65" t="s">
        <v>358</v>
      </c>
      <c r="Q83" s="460" t="s">
        <v>608</v>
      </c>
      <c r="V83" s="53" t="s">
        <v>609</v>
      </c>
    </row>
    <row r="84" spans="2:26" x14ac:dyDescent="0.25">
      <c r="H84" s="36" t="s">
        <v>356</v>
      </c>
    </row>
    <row r="86" spans="2:26" x14ac:dyDescent="0.25">
      <c r="W86" t="s">
        <v>128</v>
      </c>
    </row>
    <row r="88" spans="2:26" x14ac:dyDescent="0.25">
      <c r="I88" s="53"/>
    </row>
    <row r="89" spans="2:26" x14ac:dyDescent="0.25">
      <c r="F89" s="17" t="s">
        <v>357</v>
      </c>
    </row>
    <row r="90" spans="2:26" x14ac:dyDescent="0.25">
      <c r="G90" s="36"/>
      <c r="V90" s="65"/>
    </row>
    <row r="91" spans="2:26" x14ac:dyDescent="0.25">
      <c r="B91" s="14"/>
      <c r="L91" t="s">
        <v>599</v>
      </c>
      <c r="O91" t="s">
        <v>690</v>
      </c>
      <c r="Z91" s="101"/>
    </row>
    <row r="92" spans="2:26" x14ac:dyDescent="0.25">
      <c r="I92" s="36" t="s">
        <v>611</v>
      </c>
      <c r="L92" t="s">
        <v>692</v>
      </c>
      <c r="O92" t="s">
        <v>691</v>
      </c>
      <c r="T92" s="459" t="s">
        <v>612</v>
      </c>
      <c r="X92" s="36" t="s">
        <v>693</v>
      </c>
    </row>
    <row r="94" spans="2:26" x14ac:dyDescent="0.25">
      <c r="H94" s="17" t="s">
        <v>356</v>
      </c>
      <c r="Z94" s="36"/>
    </row>
    <row r="98" spans="2:22" x14ac:dyDescent="0.25">
      <c r="F98" s="17" t="s">
        <v>357</v>
      </c>
    </row>
    <row r="99" spans="2:22" x14ac:dyDescent="0.25">
      <c r="B99" s="14" t="s">
        <v>355</v>
      </c>
      <c r="I99" s="36" t="s">
        <v>615</v>
      </c>
      <c r="L99" s="36" t="s">
        <v>615</v>
      </c>
      <c r="S99" s="36"/>
      <c r="U99" s="36"/>
    </row>
    <row r="100" spans="2:22" x14ac:dyDescent="0.25">
      <c r="F100" s="36" t="s">
        <v>596</v>
      </c>
      <c r="I100" t="s">
        <v>598</v>
      </c>
      <c r="L100" t="s">
        <v>598</v>
      </c>
      <c r="N100" s="36"/>
      <c r="Q100" s="36" t="s">
        <v>361</v>
      </c>
      <c r="V100" s="17" t="s">
        <v>600</v>
      </c>
    </row>
  </sheetData>
  <sheetProtection algorithmName="SHA-512" hashValue="BeotMVjzRWYCfgOJ+GHPqsTHU5JOqHbwe6XHNhlNxNAxAyjcQapuIZIW2k2KdLX07qDSqB03/m2G2ES0d6n9Tg==" saltValue="nBN6mey6GfSqPWkN6bT1jw==" spinCount="100000" sheet="1" selectLockedCells="1" selectUnlockedCells="1"/>
  <pageMargins left="0.7" right="0.7" top="0.75" bottom="0.75" header="0.3" footer="0.3"/>
  <pageSetup paperSize="17" scale="8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J46"/>
  <sheetViews>
    <sheetView topLeftCell="A4" workbookViewId="0">
      <selection activeCell="F6" sqref="F6"/>
    </sheetView>
  </sheetViews>
  <sheetFormatPr defaultColWidth="9.28515625" defaultRowHeight="15" x14ac:dyDescent="0.25"/>
  <cols>
    <col min="1" max="1" width="10.7109375" style="2" customWidth="1"/>
    <col min="2" max="2" width="11.85546875" style="13" customWidth="1"/>
    <col min="3" max="8" width="10.7109375" style="13" customWidth="1"/>
    <col min="9" max="16384" width="9.28515625" style="13"/>
  </cols>
  <sheetData>
    <row r="1" spans="1:10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</row>
    <row r="2" spans="1:10" x14ac:dyDescent="0.25">
      <c r="A2" s="1"/>
      <c r="D2" s="15"/>
    </row>
    <row r="3" spans="1:10" x14ac:dyDescent="0.25">
      <c r="A3" s="1" t="s">
        <v>0</v>
      </c>
      <c r="B3" s="117" t="s">
        <v>1</v>
      </c>
      <c r="C3" s="123"/>
      <c r="D3"/>
      <c r="E3"/>
      <c r="F3" s="11" t="s">
        <v>117</v>
      </c>
      <c r="G3" s="292">
        <v>1.1100000000000001</v>
      </c>
      <c r="H3" s="36" t="s">
        <v>12</v>
      </c>
    </row>
    <row r="4" spans="1:10" x14ac:dyDescent="0.25">
      <c r="A4" s="1" t="s">
        <v>4</v>
      </c>
      <c r="B4" s="275" t="s">
        <v>43</v>
      </c>
      <c r="C4" s="160"/>
      <c r="D4"/>
      <c r="E4"/>
      <c r="F4" s="11" t="s">
        <v>116</v>
      </c>
      <c r="G4" s="293">
        <v>0.45</v>
      </c>
      <c r="H4"/>
    </row>
    <row r="5" spans="1:10" ht="15" customHeight="1" x14ac:dyDescent="0.25">
      <c r="A5" s="173" t="s">
        <v>118</v>
      </c>
      <c r="B5" s="276"/>
      <c r="C5" s="172"/>
      <c r="D5" s="217"/>
      <c r="E5"/>
      <c r="F5" s="174" t="s">
        <v>115</v>
      </c>
      <c r="G5" s="294">
        <v>5</v>
      </c>
      <c r="H5" s="98" t="s">
        <v>13</v>
      </c>
    </row>
    <row r="6" spans="1:10" x14ac:dyDescent="0.25">
      <c r="A6" s="1" t="s">
        <v>164</v>
      </c>
      <c r="B6" s="117"/>
      <c r="C6" s="123"/>
    </row>
    <row r="7" spans="1:10" x14ac:dyDescent="0.25">
      <c r="A7" s="1" t="s">
        <v>10</v>
      </c>
      <c r="B7" s="275" t="s">
        <v>46</v>
      </c>
      <c r="C7" s="160"/>
    </row>
    <row r="8" spans="1:10" x14ac:dyDescent="0.25">
      <c r="A8" s="1" t="s">
        <v>121</v>
      </c>
      <c r="B8" s="291">
        <v>43175</v>
      </c>
      <c r="C8" s="160"/>
      <c r="J8" s="16"/>
    </row>
    <row r="9" spans="1:10" ht="15" customHeight="1" x14ac:dyDescent="0.25">
      <c r="A9" s="173" t="s">
        <v>122</v>
      </c>
      <c r="B9" s="276" t="s">
        <v>2</v>
      </c>
      <c r="C9" s="172"/>
      <c r="D9" s="185"/>
      <c r="E9" s="185"/>
      <c r="F9" s="178" t="s">
        <v>380</v>
      </c>
      <c r="G9" s="178" t="s">
        <v>381</v>
      </c>
      <c r="H9" s="178" t="s">
        <v>468</v>
      </c>
    </row>
    <row r="10" spans="1:10" x14ac:dyDescent="0.25">
      <c r="A10" s="1" t="s">
        <v>173</v>
      </c>
      <c r="B10" s="276" t="s">
        <v>44</v>
      </c>
      <c r="C10" s="172"/>
      <c r="D10" s="15"/>
      <c r="E10" s="15"/>
      <c r="F10" s="161">
        <v>30.278700000000001</v>
      </c>
      <c r="G10" s="161">
        <v>87.683099999999996</v>
      </c>
      <c r="H10" s="161">
        <v>10</v>
      </c>
    </row>
    <row r="11" spans="1:10" x14ac:dyDescent="0.25">
      <c r="A11" s="26" t="s">
        <v>9</v>
      </c>
      <c r="B11"/>
      <c r="C11" s="39" t="s">
        <v>45</v>
      </c>
      <c r="D11"/>
      <c r="E11"/>
      <c r="F11" s="31">
        <v>30.25</v>
      </c>
      <c r="G11" s="38">
        <v>88.083299999999994</v>
      </c>
      <c r="H11" s="37">
        <v>8</v>
      </c>
    </row>
    <row r="14" spans="1:10" x14ac:dyDescent="0.25">
      <c r="A14" s="1"/>
      <c r="B14"/>
      <c r="C14"/>
      <c r="D14"/>
      <c r="E14"/>
      <c r="F14"/>
      <c r="G14"/>
      <c r="H14"/>
    </row>
    <row r="15" spans="1:10" ht="18.75" x14ac:dyDescent="0.35">
      <c r="A15" s="1"/>
      <c r="B15"/>
      <c r="C15"/>
      <c r="D15" s="576" t="s">
        <v>456</v>
      </c>
      <c r="E15" s="576"/>
      <c r="F15" s="576"/>
      <c r="G15"/>
      <c r="H15"/>
    </row>
    <row r="16" spans="1:10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/>
    </row>
    <row r="17" spans="1:8" s="2" customFormat="1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/>
    </row>
    <row r="18" spans="1:8" s="2" customFormat="1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4"/>
      <c r="G18" s="23" t="s">
        <v>27</v>
      </c>
      <c r="H18" s="6"/>
    </row>
    <row r="19" spans="1:8" s="2" customFormat="1" x14ac:dyDescent="0.25">
      <c r="A19" s="4"/>
      <c r="B19" s="17">
        <v>2</v>
      </c>
      <c r="C19" s="18">
        <f>G5</f>
        <v>5</v>
      </c>
      <c r="D19" s="29">
        <v>21.09</v>
      </c>
      <c r="E19" s="29">
        <v>1.1299999999999999</v>
      </c>
      <c r="F19" s="110">
        <v>0.52234172673906332</v>
      </c>
      <c r="G19" s="29">
        <f t="shared" ref="G19:G25" si="0">D19/(C19+E19)^F19</f>
        <v>8.1799964603014512</v>
      </c>
      <c r="H19" s="6"/>
    </row>
    <row r="20" spans="1:8" x14ac:dyDescent="0.25">
      <c r="A20" s="4"/>
      <c r="B20" s="17">
        <v>5</v>
      </c>
      <c r="C20" s="18">
        <f t="shared" ref="C20:C25" si="1">C19</f>
        <v>5</v>
      </c>
      <c r="D20" s="29">
        <v>24.73</v>
      </c>
      <c r="E20" s="29">
        <v>0.99</v>
      </c>
      <c r="F20" s="110">
        <v>0.5147755183419932</v>
      </c>
      <c r="G20" s="29">
        <f t="shared" si="0"/>
        <v>9.8406507988919856</v>
      </c>
      <c r="H20" s="11"/>
    </row>
    <row r="21" spans="1:8" x14ac:dyDescent="0.25">
      <c r="A21" s="4"/>
      <c r="B21" s="17">
        <v>10</v>
      </c>
      <c r="C21" s="18">
        <f t="shared" si="1"/>
        <v>5</v>
      </c>
      <c r="D21" s="29">
        <v>27.66</v>
      </c>
      <c r="E21" s="29">
        <v>0.93</v>
      </c>
      <c r="F21" s="110">
        <v>0.50789393017312445</v>
      </c>
      <c r="G21" s="29">
        <f t="shared" si="0"/>
        <v>11.200112611938039</v>
      </c>
      <c r="H21"/>
    </row>
    <row r="22" spans="1:8" x14ac:dyDescent="0.25">
      <c r="A22" s="1"/>
      <c r="B22" s="17">
        <v>25</v>
      </c>
      <c r="C22" s="18">
        <f t="shared" si="1"/>
        <v>5</v>
      </c>
      <c r="D22" s="29">
        <v>31.21</v>
      </c>
      <c r="E22" s="29">
        <v>0.73</v>
      </c>
      <c r="F22" s="110">
        <v>0.49725921880786556</v>
      </c>
      <c r="G22" s="29">
        <f t="shared" si="0"/>
        <v>13.100696742102501</v>
      </c>
      <c r="H22"/>
    </row>
    <row r="23" spans="1:8" x14ac:dyDescent="0.25">
      <c r="A23" s="1"/>
      <c r="B23" s="17">
        <v>50</v>
      </c>
      <c r="C23" s="18">
        <f t="shared" si="1"/>
        <v>5</v>
      </c>
      <c r="D23" s="30">
        <v>34.53</v>
      </c>
      <c r="E23" s="29">
        <v>0.71</v>
      </c>
      <c r="F23" s="110">
        <v>0.49408666002958973</v>
      </c>
      <c r="G23" s="29">
        <f t="shared" si="0"/>
        <v>14.599997141955603</v>
      </c>
      <c r="H23"/>
    </row>
    <row r="24" spans="1:8" x14ac:dyDescent="0.25">
      <c r="A24" s="1"/>
      <c r="B24" s="17">
        <v>100</v>
      </c>
      <c r="C24" s="18">
        <f t="shared" si="1"/>
        <v>5</v>
      </c>
      <c r="D24" s="29">
        <v>36.159999999999997</v>
      </c>
      <c r="E24" s="29">
        <v>0.45</v>
      </c>
      <c r="F24" s="110">
        <v>0.48085052417991209</v>
      </c>
      <c r="G24" s="29">
        <f t="shared" si="0"/>
        <v>16.000434550622668</v>
      </c>
      <c r="H24"/>
    </row>
    <row r="25" spans="1:8" x14ac:dyDescent="0.25">
      <c r="A25" s="1"/>
      <c r="B25" s="17">
        <v>200</v>
      </c>
      <c r="C25" s="18">
        <f t="shared" si="1"/>
        <v>5</v>
      </c>
      <c r="D25" s="29">
        <v>38.909999999999997</v>
      </c>
      <c r="E25" s="29">
        <v>0.37</v>
      </c>
      <c r="F25" s="110">
        <v>0.4753507760899422</v>
      </c>
      <c r="G25" s="29">
        <f t="shared" si="0"/>
        <v>17.501182257298581</v>
      </c>
      <c r="H25"/>
    </row>
    <row r="26" spans="1:8" x14ac:dyDescent="0.25">
      <c r="A26" s="1"/>
      <c r="B26"/>
      <c r="C26"/>
      <c r="D26"/>
      <c r="E26"/>
      <c r="F26"/>
      <c r="G26"/>
      <c r="H26"/>
    </row>
    <row r="27" spans="1:8" x14ac:dyDescent="0.25">
      <c r="A27" s="1"/>
      <c r="B27"/>
      <c r="C27"/>
      <c r="D27" s="577" t="s">
        <v>28</v>
      </c>
      <c r="E27" s="577"/>
      <c r="F27" s="577"/>
      <c r="G27"/>
      <c r="H27"/>
    </row>
    <row r="28" spans="1:8" x14ac:dyDescent="0.25">
      <c r="A28" s="1"/>
      <c r="B28"/>
      <c r="C28" s="1"/>
      <c r="D28"/>
      <c r="E28" s="6" t="s">
        <v>120</v>
      </c>
      <c r="F28"/>
      <c r="G28"/>
      <c r="H28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s="2" customFormat="1" ht="15" customHeight="1" x14ac:dyDescent="0.25">
      <c r="A30" s="177" t="s">
        <v>29</v>
      </c>
      <c r="B30" s="186" t="s">
        <v>385</v>
      </c>
      <c r="C30" s="186" t="s">
        <v>385</v>
      </c>
      <c r="D30" s="186" t="s">
        <v>385</v>
      </c>
      <c r="E30" s="186" t="s">
        <v>385</v>
      </c>
      <c r="F30" s="186" t="s">
        <v>385</v>
      </c>
      <c r="G30" s="186" t="s">
        <v>385</v>
      </c>
      <c r="H30" s="186" t="s">
        <v>385</v>
      </c>
    </row>
    <row r="31" spans="1:8" s="2" customFormat="1" x14ac:dyDescent="0.25">
      <c r="A31" s="1">
        <v>5</v>
      </c>
      <c r="B31" s="18">
        <f>$D$19/(A31+$E$19)^$F$19</f>
        <v>8.1799964603014512</v>
      </c>
      <c r="C31" s="18">
        <f>$D$20/(A31+$E$20)^$F$20</f>
        <v>9.8406507988919856</v>
      </c>
      <c r="D31" s="18">
        <f>$D$21/(A31+$E$21)^$F$21</f>
        <v>11.200112611938039</v>
      </c>
      <c r="E31" s="18">
        <f>$D$22/(A31+$E$22)^$F$22</f>
        <v>13.100696742102501</v>
      </c>
      <c r="F31" s="18">
        <f>$D$23/(A31+$E$23)^$F$23</f>
        <v>14.599997141955603</v>
      </c>
      <c r="G31" s="18">
        <f>$D$24/(A31+$E$24)^$F$24</f>
        <v>16.000434550622668</v>
      </c>
      <c r="H31" s="18">
        <f>$D$25/(A31+$E$25)^$F$25</f>
        <v>17.501182257298581</v>
      </c>
    </row>
    <row r="32" spans="1:8" x14ac:dyDescent="0.25">
      <c r="A32" s="1">
        <v>10</v>
      </c>
      <c r="B32" s="18">
        <f>$D$19/(A32+$E$19)^$F$19</f>
        <v>5.9902988380139934</v>
      </c>
      <c r="C32" s="18">
        <f>$D$20/(A32+$E$20)^$F$20</f>
        <v>7.2001905441624556</v>
      </c>
      <c r="D32" s="18">
        <f>$D$21/(A32+$E$21)^$F$21</f>
        <v>8.2100026965777193</v>
      </c>
      <c r="E32" s="18">
        <f>$D$22/(A32+$E$22)^$F$22</f>
        <v>9.5899988704342398</v>
      </c>
      <c r="F32" s="18">
        <f>$D$23/(A32+$E$23)^$F$23</f>
        <v>10.700186274340528</v>
      </c>
      <c r="G32" s="18">
        <f>$D$24/(A32+$E$24)^$F$24</f>
        <v>11.699998857609758</v>
      </c>
      <c r="H32" s="18">
        <f>$D$25/(A32+$E$25)^$F$25</f>
        <v>12.800001207532185</v>
      </c>
    </row>
    <row r="33" spans="1:8" x14ac:dyDescent="0.25">
      <c r="A33" s="1">
        <v>15</v>
      </c>
      <c r="B33" s="18">
        <f>$D$19/(A33+$E$19)^$F$19</f>
        <v>4.9349045723144966</v>
      </c>
      <c r="C33" s="18">
        <f>$D$20/(A33+$E$20)^$F$20</f>
        <v>5.9362529639403983</v>
      </c>
      <c r="D33" s="18">
        <f>$D$21/(A33+$E$21)^$F$21</f>
        <v>6.7803807230399622</v>
      </c>
      <c r="E33" s="18">
        <f>$D$22/(A33+$E$22)^$F$22</f>
        <v>7.9288349763243531</v>
      </c>
      <c r="F33" s="18">
        <f>$D$23/(A33+$E$23)^$F$23</f>
        <v>8.8548637336515803</v>
      </c>
      <c r="G33" s="18">
        <f>$D$24/(A33+$E$24)^$F$24</f>
        <v>9.6946366631427825</v>
      </c>
      <c r="H33" s="18">
        <f>$D$25/(A33+$E$25)^$F$25</f>
        <v>10.616341664293333</v>
      </c>
    </row>
    <row r="34" spans="1:8" x14ac:dyDescent="0.25">
      <c r="A34" s="1">
        <v>30</v>
      </c>
      <c r="B34" s="18">
        <f>$D$19/(A34+$E$19)^$F$19</f>
        <v>3.5004737038885674</v>
      </c>
      <c r="C34" s="18">
        <f>$D$20/(A34+$E$20)^$F$20</f>
        <v>4.2225981830188744</v>
      </c>
      <c r="D34" s="18">
        <f>$D$21/(A34+$E$21)^$F$21</f>
        <v>4.8405784247777612</v>
      </c>
      <c r="E34" s="18">
        <f>$D$22/(A34+$E$22)^$F$22</f>
        <v>5.6831559297767038</v>
      </c>
      <c r="F34" s="18">
        <f>$D$23/(A34+$E$23)^$F$23</f>
        <v>6.3584529394989238</v>
      </c>
      <c r="G34" s="18">
        <f>$D$24/(A34+$E$24)^$F$24</f>
        <v>6.9959177095729146</v>
      </c>
      <c r="H34" s="18">
        <f>$D$25/(A34+$E$25)^$F$25</f>
        <v>7.6803311978369875</v>
      </c>
    </row>
    <row r="35" spans="1:8" x14ac:dyDescent="0.25">
      <c r="A35" s="1">
        <v>60</v>
      </c>
      <c r="B35" s="18">
        <f>$D$19/(A35+$E$19)^$F$19</f>
        <v>2.4606020089381548</v>
      </c>
      <c r="C35" s="18">
        <f>$D$20/(A35+$E$20)^$F$20</f>
        <v>2.9800028402238619</v>
      </c>
      <c r="D35" s="18">
        <f>$D$21/(A35+$E$21)^$F$21</f>
        <v>3.4304196707512729</v>
      </c>
      <c r="E35" s="18">
        <f>$D$22/(A35+$E$22)^$F$22</f>
        <v>4.0502333585112797</v>
      </c>
      <c r="F35" s="18">
        <f>$D$23/(A35+$E$23)^$F$23</f>
        <v>4.5405816106809223</v>
      </c>
      <c r="G35" s="18">
        <f>$D$24/(A35+$E$24)^$F$24</f>
        <v>5.0308697634102106</v>
      </c>
      <c r="H35" s="18">
        <f>$D$25/(A35+$E$25)^$F$25</f>
        <v>5.5404686622723833</v>
      </c>
    </row>
    <row r="36" spans="1:8" s="2" customFormat="1" x14ac:dyDescent="0.25">
      <c r="A36" s="1"/>
      <c r="B36"/>
      <c r="C36"/>
      <c r="D36"/>
      <c r="E36"/>
      <c r="F36"/>
      <c r="G36"/>
      <c r="H36"/>
    </row>
    <row r="37" spans="1:8" x14ac:dyDescent="0.25">
      <c r="A37" s="1"/>
      <c r="B37" s="168" t="s">
        <v>14</v>
      </c>
      <c r="C37" s="284" t="s">
        <v>30</v>
      </c>
      <c r="D37" s="12"/>
      <c r="E37" s="10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/>
      <c r="E38" s="17"/>
      <c r="F38" s="86"/>
      <c r="G38"/>
      <c r="H38"/>
    </row>
    <row r="39" spans="1:8" ht="15" customHeight="1" x14ac:dyDescent="0.25">
      <c r="A39" s="1"/>
      <c r="B39" s="176" t="s">
        <v>25</v>
      </c>
      <c r="C39" s="176" t="s">
        <v>386</v>
      </c>
      <c r="D39"/>
      <c r="E39" s="17"/>
      <c r="F39"/>
      <c r="G39"/>
      <c r="H39"/>
    </row>
    <row r="40" spans="1:8" x14ac:dyDescent="0.25">
      <c r="A40" s="1"/>
      <c r="B40" s="285">
        <v>2</v>
      </c>
      <c r="C40" s="187">
        <f t="shared" ref="C40:C46" si="2">$G$4*G19*$G$3</f>
        <v>4.0859082319205751</v>
      </c>
      <c r="D40"/>
      <c r="E40" s="17"/>
      <c r="F40"/>
      <c r="G40"/>
      <c r="H40"/>
    </row>
    <row r="41" spans="1:8" x14ac:dyDescent="0.25">
      <c r="A41" s="1"/>
      <c r="B41" s="285">
        <v>5</v>
      </c>
      <c r="C41" s="188">
        <f t="shared" si="2"/>
        <v>4.9154050740465474</v>
      </c>
      <c r="D41"/>
      <c r="E41" s="17"/>
      <c r="F41"/>
      <c r="G41"/>
      <c r="H41"/>
    </row>
    <row r="42" spans="1:8" x14ac:dyDescent="0.25">
      <c r="A42" s="1"/>
      <c r="B42" s="285">
        <v>10</v>
      </c>
      <c r="C42" s="188">
        <f t="shared" si="2"/>
        <v>5.5944562496630503</v>
      </c>
      <c r="D42"/>
      <c r="E42" s="17"/>
      <c r="F42"/>
      <c r="G42"/>
      <c r="H42"/>
    </row>
    <row r="43" spans="1:8" x14ac:dyDescent="0.25">
      <c r="A43" s="1"/>
      <c r="B43" s="285">
        <v>25</v>
      </c>
      <c r="C43" s="188">
        <f t="shared" si="2"/>
        <v>6.5437980226801997</v>
      </c>
      <c r="D43"/>
      <c r="E43" s="17"/>
      <c r="F43"/>
      <c r="G43"/>
      <c r="H43"/>
    </row>
    <row r="44" spans="1:8" x14ac:dyDescent="0.25">
      <c r="A44" s="1"/>
      <c r="B44" s="285">
        <v>50</v>
      </c>
      <c r="C44" s="188">
        <f t="shared" si="2"/>
        <v>7.2926985724068247</v>
      </c>
      <c r="D44"/>
      <c r="E44" s="17"/>
      <c r="F44"/>
      <c r="G44"/>
      <c r="H44"/>
    </row>
    <row r="45" spans="1:8" x14ac:dyDescent="0.25">
      <c r="A45" s="1"/>
      <c r="B45" s="285">
        <v>100</v>
      </c>
      <c r="C45" s="188">
        <f t="shared" si="2"/>
        <v>7.9922170580360232</v>
      </c>
      <c r="D45"/>
      <c r="E45"/>
      <c r="F45"/>
      <c r="G45"/>
      <c r="H45"/>
    </row>
    <row r="46" spans="1:8" x14ac:dyDescent="0.25">
      <c r="A46" s="1"/>
      <c r="B46" s="285">
        <v>200</v>
      </c>
      <c r="C46" s="188">
        <f t="shared" si="2"/>
        <v>8.7418405375206412</v>
      </c>
      <c r="D46"/>
      <c r="E46"/>
      <c r="F46"/>
      <c r="G46"/>
      <c r="H46"/>
    </row>
  </sheetData>
  <sheetProtection algorithmName="SHA-512" hashValue="fPNVhJkhJm/N+tdicQU1g5gQLZOY0fwJxDmQOE/+rlmotZlrWYjqrtd7c/KX9iw0bAt/HQMvOsQTBgVbk+b5Ng==" saltValue="nCCjqiaeyd/oWoCgKRf9vg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J46"/>
  <sheetViews>
    <sheetView zoomScaleNormal="100" workbookViewId="0">
      <selection activeCell="B10" sqref="B10"/>
    </sheetView>
  </sheetViews>
  <sheetFormatPr defaultColWidth="9.28515625" defaultRowHeight="15" x14ac:dyDescent="0.25"/>
  <cols>
    <col min="1" max="1" width="10.7109375" style="2" customWidth="1"/>
    <col min="2" max="2" width="11.42578125" style="13" customWidth="1"/>
    <col min="3" max="8" width="10.7109375" style="13" customWidth="1"/>
    <col min="9" max="16384" width="9.28515625" style="13"/>
  </cols>
  <sheetData>
    <row r="1" spans="1:10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  <c r="I1"/>
    </row>
    <row r="2" spans="1:10" x14ac:dyDescent="0.25">
      <c r="A2" s="1"/>
      <c r="B2"/>
      <c r="C2"/>
      <c r="D2" s="14"/>
      <c r="E2"/>
      <c r="F2"/>
      <c r="G2"/>
      <c r="H2"/>
      <c r="I2"/>
    </row>
    <row r="3" spans="1:10" x14ac:dyDescent="0.25">
      <c r="A3" s="1" t="s">
        <v>0</v>
      </c>
      <c r="B3" s="299"/>
      <c r="C3" s="292"/>
      <c r="D3"/>
      <c r="E3"/>
      <c r="F3" s="11" t="s">
        <v>117</v>
      </c>
      <c r="G3" s="292">
        <v>1.1100000000000001</v>
      </c>
      <c r="H3" s="36" t="s">
        <v>12</v>
      </c>
    </row>
    <row r="4" spans="1:10" x14ac:dyDescent="0.25">
      <c r="A4" s="1" t="s">
        <v>4</v>
      </c>
      <c r="B4" s="300" t="s">
        <v>491</v>
      </c>
      <c r="C4" s="293"/>
      <c r="D4"/>
      <c r="E4"/>
      <c r="F4" s="11" t="s">
        <v>116</v>
      </c>
      <c r="G4" s="293">
        <v>0.45</v>
      </c>
      <c r="H4"/>
    </row>
    <row r="5" spans="1:10" ht="15" customHeight="1" x14ac:dyDescent="0.25">
      <c r="A5" s="173" t="s">
        <v>118</v>
      </c>
      <c r="B5" s="301"/>
      <c r="C5" s="294"/>
      <c r="D5" s="217"/>
      <c r="E5" s="217"/>
      <c r="F5" s="174" t="s">
        <v>115</v>
      </c>
      <c r="G5" s="294">
        <v>15.5</v>
      </c>
      <c r="H5" s="98" t="s">
        <v>13</v>
      </c>
    </row>
    <row r="6" spans="1:10" x14ac:dyDescent="0.25">
      <c r="A6" s="1" t="s">
        <v>164</v>
      </c>
      <c r="B6" s="299"/>
      <c r="C6" s="292"/>
      <c r="D6"/>
      <c r="E6"/>
      <c r="F6"/>
      <c r="H6"/>
    </row>
    <row r="7" spans="1:10" x14ac:dyDescent="0.25">
      <c r="A7" s="1" t="s">
        <v>10</v>
      </c>
      <c r="B7" s="300" t="s">
        <v>46</v>
      </c>
      <c r="C7" s="293"/>
      <c r="D7"/>
      <c r="E7"/>
      <c r="F7"/>
      <c r="G7"/>
      <c r="H7"/>
      <c r="I7"/>
    </row>
    <row r="8" spans="1:10" x14ac:dyDescent="0.25">
      <c r="A8" s="1" t="s">
        <v>121</v>
      </c>
      <c r="B8" s="302">
        <v>42810</v>
      </c>
      <c r="C8" s="294"/>
      <c r="D8" s="14"/>
      <c r="E8" s="14"/>
      <c r="F8"/>
      <c r="G8"/>
      <c r="H8"/>
      <c r="I8"/>
      <c r="J8" s="16"/>
    </row>
    <row r="9" spans="1:10" ht="15" customHeight="1" x14ac:dyDescent="0.25">
      <c r="A9" s="173" t="s">
        <v>122</v>
      </c>
      <c r="B9" s="300" t="s">
        <v>2</v>
      </c>
      <c r="C9" s="293"/>
      <c r="D9" s="217"/>
      <c r="E9" s="217"/>
      <c r="F9" s="178" t="s">
        <v>380</v>
      </c>
      <c r="G9" s="178" t="s">
        <v>381</v>
      </c>
      <c r="H9" s="178" t="s">
        <v>468</v>
      </c>
      <c r="I9"/>
    </row>
    <row r="10" spans="1:10" x14ac:dyDescent="0.25">
      <c r="A10" s="1" t="s">
        <v>173</v>
      </c>
      <c r="B10" s="301" t="s">
        <v>492</v>
      </c>
      <c r="C10" s="294"/>
      <c r="F10" s="161">
        <v>31.4068</v>
      </c>
      <c r="G10" s="161">
        <v>85.6023</v>
      </c>
      <c r="H10" s="161">
        <v>250</v>
      </c>
    </row>
    <row r="11" spans="1:10" x14ac:dyDescent="0.25">
      <c r="A11" s="26" t="s">
        <v>9</v>
      </c>
      <c r="B11" s="14"/>
      <c r="C11" s="39" t="s">
        <v>47</v>
      </c>
      <c r="D11"/>
      <c r="E11"/>
      <c r="F11" s="38">
        <v>31.194199999999999</v>
      </c>
      <c r="G11" s="38">
        <v>85.350700000000003</v>
      </c>
      <c r="H11" s="37">
        <v>275</v>
      </c>
      <c r="I11"/>
    </row>
    <row r="12" spans="1:10" ht="15" customHeight="1" x14ac:dyDescent="0.25"/>
    <row r="13" spans="1:10" x14ac:dyDescent="0.25">
      <c r="E13" s="16"/>
    </row>
    <row r="14" spans="1:10" x14ac:dyDescent="0.25">
      <c r="A14" s="1"/>
      <c r="B14"/>
      <c r="C14"/>
      <c r="D14"/>
      <c r="E14"/>
      <c r="F14"/>
      <c r="G14"/>
      <c r="H14"/>
    </row>
    <row r="15" spans="1:10" ht="18.75" x14ac:dyDescent="0.35">
      <c r="A15" s="1"/>
      <c r="B15"/>
      <c r="C15"/>
      <c r="D15" s="576" t="s">
        <v>456</v>
      </c>
      <c r="E15" s="576"/>
      <c r="F15" s="576"/>
      <c r="G15"/>
      <c r="H15"/>
    </row>
    <row r="16" spans="1:10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/>
    </row>
    <row r="17" spans="1:8" s="2" customFormat="1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/>
    </row>
    <row r="18" spans="1:8" s="2" customFormat="1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s="2" customFormat="1" x14ac:dyDescent="0.25">
      <c r="A19" s="4"/>
      <c r="B19" s="17">
        <v>2</v>
      </c>
      <c r="C19" s="18">
        <f>G5</f>
        <v>15.5</v>
      </c>
      <c r="D19" s="29">
        <v>25.13</v>
      </c>
      <c r="E19" s="29">
        <v>2.59</v>
      </c>
      <c r="F19" s="104">
        <v>0.61669634040515875</v>
      </c>
      <c r="G19" s="29">
        <f t="shared" ref="G19:G25" si="0">D19/(C19+E19)^F19</f>
        <v>4.214390032476226</v>
      </c>
      <c r="H19" s="6"/>
    </row>
    <row r="20" spans="1:8" x14ac:dyDescent="0.25">
      <c r="A20" s="4"/>
      <c r="B20" s="17">
        <v>5</v>
      </c>
      <c r="C20" s="18">
        <f t="shared" ref="C20:C25" si="1">C19</f>
        <v>15.5</v>
      </c>
      <c r="D20" s="29">
        <v>28.86</v>
      </c>
      <c r="E20" s="29">
        <v>2.44</v>
      </c>
      <c r="F20" s="105">
        <v>0.60559746257128311</v>
      </c>
      <c r="G20" s="29">
        <f t="shared" si="0"/>
        <v>5.0232482239185332</v>
      </c>
      <c r="H20" s="11"/>
    </row>
    <row r="21" spans="1:8" x14ac:dyDescent="0.25">
      <c r="A21" s="4"/>
      <c r="B21" s="17">
        <v>10</v>
      </c>
      <c r="C21" s="18">
        <f t="shared" si="1"/>
        <v>15.5</v>
      </c>
      <c r="D21" s="29">
        <v>29.47</v>
      </c>
      <c r="E21" s="29">
        <v>1.7</v>
      </c>
      <c r="F21" s="105">
        <v>0.5798054785509561</v>
      </c>
      <c r="G21" s="29">
        <f t="shared" si="0"/>
        <v>5.6625750808362927</v>
      </c>
      <c r="H21"/>
    </row>
    <row r="22" spans="1:8" x14ac:dyDescent="0.25">
      <c r="A22" s="1"/>
      <c r="B22" s="17">
        <v>25</v>
      </c>
      <c r="C22" s="18">
        <f t="shared" si="1"/>
        <v>15.5</v>
      </c>
      <c r="D22" s="29">
        <v>33.47</v>
      </c>
      <c r="E22" s="43">
        <v>1.79</v>
      </c>
      <c r="F22" s="105">
        <v>0.57152894264064036</v>
      </c>
      <c r="G22" s="29">
        <f t="shared" si="0"/>
        <v>6.5647780670561664</v>
      </c>
      <c r="H22"/>
    </row>
    <row r="23" spans="1:8" x14ac:dyDescent="0.25">
      <c r="A23" s="1"/>
      <c r="B23" s="17">
        <v>50</v>
      </c>
      <c r="C23" s="18">
        <f t="shared" si="1"/>
        <v>15.5</v>
      </c>
      <c r="D23" s="43">
        <v>35.19</v>
      </c>
      <c r="E23" s="29">
        <v>1.61</v>
      </c>
      <c r="F23" s="105">
        <v>0.55657720064232019</v>
      </c>
      <c r="G23" s="29">
        <f t="shared" si="0"/>
        <v>7.2447003771060627</v>
      </c>
      <c r="H23"/>
    </row>
    <row r="24" spans="1:8" x14ac:dyDescent="0.25">
      <c r="A24" s="1"/>
      <c r="B24" s="17">
        <v>100</v>
      </c>
      <c r="C24" s="18">
        <f t="shared" si="1"/>
        <v>15.5</v>
      </c>
      <c r="D24" s="29">
        <v>36.5</v>
      </c>
      <c r="E24" s="29">
        <v>1.38</v>
      </c>
      <c r="F24" s="105">
        <v>0.54070591236497367</v>
      </c>
      <c r="G24" s="29">
        <f t="shared" si="0"/>
        <v>7.9185438902827014</v>
      </c>
      <c r="H24"/>
    </row>
    <row r="25" spans="1:8" x14ac:dyDescent="0.25">
      <c r="A25" s="1"/>
      <c r="B25" s="17">
        <v>200</v>
      </c>
      <c r="C25" s="18">
        <f t="shared" si="1"/>
        <v>15.5</v>
      </c>
      <c r="D25" s="29">
        <v>37.130000000000003</v>
      </c>
      <c r="E25" s="43">
        <v>1.07</v>
      </c>
      <c r="F25" s="105">
        <v>0.52140056503952537</v>
      </c>
      <c r="G25" s="29">
        <f t="shared" si="0"/>
        <v>8.5895320474080137</v>
      </c>
      <c r="H25"/>
    </row>
    <row r="26" spans="1:8" x14ac:dyDescent="0.25">
      <c r="A26" s="1"/>
      <c r="B26"/>
      <c r="C26"/>
      <c r="D26"/>
      <c r="E26"/>
      <c r="F26"/>
      <c r="G26"/>
      <c r="H26"/>
    </row>
    <row r="27" spans="1:8" x14ac:dyDescent="0.25">
      <c r="A27" s="1"/>
      <c r="B27"/>
      <c r="C27"/>
      <c r="D27" s="577" t="s">
        <v>28</v>
      </c>
      <c r="E27" s="577"/>
      <c r="F27" s="577"/>
      <c r="G27"/>
      <c r="H27"/>
    </row>
    <row r="28" spans="1:8" x14ac:dyDescent="0.25">
      <c r="A28" s="1"/>
      <c r="B28"/>
      <c r="C28"/>
      <c r="D28" s="1"/>
      <c r="E28" s="6" t="s">
        <v>120</v>
      </c>
      <c r="F28" s="1"/>
      <c r="G28"/>
      <c r="H28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s="2" customFormat="1" ht="15" customHeight="1" x14ac:dyDescent="0.25">
      <c r="A30" s="177" t="s">
        <v>29</v>
      </c>
      <c r="B30" s="186" t="s">
        <v>385</v>
      </c>
      <c r="C30" s="186" t="s">
        <v>385</v>
      </c>
      <c r="D30" s="186" t="s">
        <v>385</v>
      </c>
      <c r="E30" s="186" t="s">
        <v>385</v>
      </c>
      <c r="F30" s="186" t="s">
        <v>385</v>
      </c>
      <c r="G30" s="186" t="s">
        <v>385</v>
      </c>
      <c r="H30" s="186" t="s">
        <v>385</v>
      </c>
    </row>
    <row r="31" spans="1:8" s="2" customFormat="1" x14ac:dyDescent="0.25">
      <c r="A31">
        <v>5</v>
      </c>
      <c r="B31" s="18">
        <f>$D$19/(A31+$E$19)^$F$19</f>
        <v>7.2003002498235062</v>
      </c>
      <c r="C31" s="18">
        <f>$D$20/(A31+$E$20)^$F$20</f>
        <v>8.56000401826409</v>
      </c>
      <c r="D31" s="18">
        <f>$D$21/(A31+$E$21)^$F$21</f>
        <v>9.7817698325853666</v>
      </c>
      <c r="E31" s="18">
        <f>$D$22/(A31+$E$22)^$F$22</f>
        <v>11.200000958790822</v>
      </c>
      <c r="F31" s="18">
        <f>$D$23/(A31+$E$23)^$F$23</f>
        <v>12.300247056700341</v>
      </c>
      <c r="G31" s="18">
        <f>$D$24/(A31+$E$24)^$F$24</f>
        <v>13.400517340900869</v>
      </c>
      <c r="H31" s="18">
        <f>$D$25/(A31+$E$25)^$F$25</f>
        <v>14.500064135227243</v>
      </c>
    </row>
    <row r="32" spans="1:8" x14ac:dyDescent="0.25">
      <c r="A32">
        <v>10</v>
      </c>
      <c r="B32" s="18">
        <f>$D$19/(A32+$E$19)^$F$19</f>
        <v>5.270000379461794</v>
      </c>
      <c r="C32" s="18">
        <f>$D$20/(A32+$E$20)^$F$20</f>
        <v>6.2701204307566742</v>
      </c>
      <c r="D32" s="18">
        <f>$D$21/(A32+$E$21)^$F$21</f>
        <v>7.0801118902544813</v>
      </c>
      <c r="E32" s="18">
        <f>$D$22/(A32+$E$22)^$F$22</f>
        <v>8.1706114877958846</v>
      </c>
      <c r="F32" s="18">
        <f>$D$23/(A32+$E$23)^$F$23</f>
        <v>8.9899635487339769</v>
      </c>
      <c r="G32" s="18">
        <f>$D$24/(A32+$E$24)^$F$24</f>
        <v>9.8000998153323788</v>
      </c>
      <c r="H32" s="18">
        <f>$D$25/(A32+$E$25)^$F$25</f>
        <v>10.599998156034276</v>
      </c>
    </row>
    <row r="33" spans="1:8" x14ac:dyDescent="0.25">
      <c r="A33">
        <v>15</v>
      </c>
      <c r="B33" s="18">
        <f>$D$19/(A33+$E$19)^$F$19</f>
        <v>4.2878699275267582</v>
      </c>
      <c r="C33" s="18">
        <f>$D$20/(A33+$E$20)^$F$20</f>
        <v>5.1099768007248363</v>
      </c>
      <c r="D33" s="18">
        <f>$D$21/(A33+$E$21)^$F$21</f>
        <v>5.7602645177173839</v>
      </c>
      <c r="E33" s="18">
        <f>$D$22/(A33+$E$22)^$F$22</f>
        <v>6.6758071650142652</v>
      </c>
      <c r="F33" s="18">
        <f>$D$23/(A33+$E$23)^$F$23</f>
        <v>7.3652815489778218</v>
      </c>
      <c r="G33" s="18">
        <f>$D$24/(A33+$E$24)^$F$24</f>
        <v>8.0483371441646163</v>
      </c>
      <c r="H33" s="18">
        <f>$D$25/(A33+$E$25)^$F$25</f>
        <v>8.7278563491946972</v>
      </c>
    </row>
    <row r="34" spans="1:8" x14ac:dyDescent="0.25">
      <c r="A34">
        <v>30</v>
      </c>
      <c r="B34" s="18">
        <f>$D$19/(A34+$E$19)^$F$19</f>
        <v>2.9314257658080125</v>
      </c>
      <c r="C34" s="18">
        <f>$D$20/(A34+$E$20)^$F$20</f>
        <v>3.5090503595021967</v>
      </c>
      <c r="D34" s="18">
        <f>$D$21/(A34+$E$21)^$F$21</f>
        <v>3.9724437106208734</v>
      </c>
      <c r="E34" s="18">
        <f>$D$22/(A34+$E$22)^$F$22</f>
        <v>4.6350368940531848</v>
      </c>
      <c r="F34" s="18">
        <f>$D$23/(A34+$E$23)^$F$23</f>
        <v>5.1481494685816598</v>
      </c>
      <c r="G34" s="18">
        <f>$D$24/(A34+$E$24)^$F$24</f>
        <v>5.6629636174360849</v>
      </c>
      <c r="H34" s="18">
        <f>$D$25/(A34+$E$25)^$F$25</f>
        <v>6.1889557354119731</v>
      </c>
    </row>
    <row r="35" spans="1:8" x14ac:dyDescent="0.25">
      <c r="A35">
        <v>60</v>
      </c>
      <c r="B35" s="18">
        <f>$D$19/(A35+$E$19)^$F$19</f>
        <v>1.9601732556863998</v>
      </c>
      <c r="C35" s="18">
        <f>$D$20/(A35+$E$20)^$F$20</f>
        <v>2.3603073227768085</v>
      </c>
      <c r="D35" s="18">
        <f>$D$21/(A35+$E$21)^$F$21</f>
        <v>2.6999951844310468</v>
      </c>
      <c r="E35" s="18">
        <f>$D$22/(A35+$E$22)^$F$22</f>
        <v>3.1702545161535247</v>
      </c>
      <c r="F35" s="18">
        <f>$D$23/(A35+$E$23)^$F$23</f>
        <v>3.5509144310413125</v>
      </c>
      <c r="G35" s="18">
        <f>$D$24/(A35+$E$24)^$F$24</f>
        <v>3.9399994096981512</v>
      </c>
      <c r="H35" s="18">
        <f>$D$25/(A35+$E$25)^$F$25</f>
        <v>4.3510418715619785</v>
      </c>
    </row>
    <row r="36" spans="1:8" x14ac:dyDescent="0.25">
      <c r="A36" s="1"/>
      <c r="B36"/>
      <c r="C36"/>
      <c r="D36"/>
      <c r="E36"/>
      <c r="F36"/>
      <c r="G36"/>
      <c r="H36"/>
    </row>
    <row r="37" spans="1:8" x14ac:dyDescent="0.25">
      <c r="A37" s="1"/>
      <c r="B37" s="168" t="s">
        <v>14</v>
      </c>
      <c r="C37" s="284" t="s">
        <v>30</v>
      </c>
      <c r="D37"/>
      <c r="E37"/>
      <c r="F37"/>
      <c r="G37"/>
      <c r="H37"/>
    </row>
    <row r="38" spans="1:8" s="2" customFormat="1" x14ac:dyDescent="0.25">
      <c r="A38" s="1"/>
      <c r="B38" s="168" t="s">
        <v>19</v>
      </c>
      <c r="C38" s="284" t="s">
        <v>31</v>
      </c>
      <c r="D38"/>
      <c r="E38"/>
      <c r="F38"/>
      <c r="G38"/>
      <c r="H38"/>
    </row>
    <row r="39" spans="1:8" ht="15" customHeight="1" x14ac:dyDescent="0.25">
      <c r="A39" s="1"/>
      <c r="B39" s="176" t="s">
        <v>25</v>
      </c>
      <c r="C39" s="176" t="s">
        <v>386</v>
      </c>
      <c r="D39" s="12"/>
      <c r="E39" s="10"/>
      <c r="F39" s="12"/>
      <c r="G39" s="12"/>
      <c r="H39" s="12"/>
    </row>
    <row r="40" spans="1:8" x14ac:dyDescent="0.25">
      <c r="A40" s="1"/>
      <c r="B40" s="285">
        <v>2</v>
      </c>
      <c r="C40" s="187">
        <f t="shared" ref="C40:C46" si="2">$G$4*G19*$G$3</f>
        <v>2.1050878212218751</v>
      </c>
      <c r="D40"/>
      <c r="E40" s="17"/>
      <c r="F40" s="86"/>
      <c r="G40"/>
      <c r="H40"/>
    </row>
    <row r="41" spans="1:8" x14ac:dyDescent="0.25">
      <c r="A41" s="1"/>
      <c r="B41" s="285">
        <v>5</v>
      </c>
      <c r="C41" s="188">
        <f t="shared" si="2"/>
        <v>2.5091124878473079</v>
      </c>
      <c r="D41"/>
      <c r="E41" s="17"/>
      <c r="F41"/>
      <c r="G41"/>
      <c r="H41"/>
    </row>
    <row r="42" spans="1:8" x14ac:dyDescent="0.25">
      <c r="A42" s="1"/>
      <c r="B42" s="285">
        <v>10</v>
      </c>
      <c r="C42" s="188">
        <f t="shared" si="2"/>
        <v>2.8284562528777286</v>
      </c>
      <c r="D42"/>
      <c r="E42" s="17"/>
      <c r="F42"/>
      <c r="G42"/>
      <c r="H42"/>
    </row>
    <row r="43" spans="1:8" x14ac:dyDescent="0.25">
      <c r="A43" s="1"/>
      <c r="B43" s="285">
        <v>25</v>
      </c>
      <c r="C43" s="188">
        <f t="shared" si="2"/>
        <v>3.2791066444945551</v>
      </c>
      <c r="D43"/>
      <c r="E43" s="17"/>
      <c r="F43"/>
      <c r="G43"/>
      <c r="H43"/>
    </row>
    <row r="44" spans="1:8" x14ac:dyDescent="0.25">
      <c r="A44" s="1"/>
      <c r="B44" s="285">
        <v>50</v>
      </c>
      <c r="C44" s="188">
        <f t="shared" si="2"/>
        <v>3.6187278383644785</v>
      </c>
      <c r="D44"/>
      <c r="E44" s="17"/>
      <c r="F44"/>
      <c r="G44"/>
      <c r="H44"/>
    </row>
    <row r="45" spans="1:8" x14ac:dyDescent="0.25">
      <c r="A45" s="1"/>
      <c r="B45" s="285">
        <v>100</v>
      </c>
      <c r="C45" s="188">
        <f t="shared" si="2"/>
        <v>3.95531267319621</v>
      </c>
      <c r="D45"/>
      <c r="E45" s="17"/>
      <c r="F45"/>
      <c r="G45"/>
      <c r="H45"/>
    </row>
    <row r="46" spans="1:8" x14ac:dyDescent="0.25">
      <c r="A46" s="1"/>
      <c r="B46" s="285">
        <v>200</v>
      </c>
      <c r="C46" s="188">
        <f t="shared" si="2"/>
        <v>4.2904712576803039</v>
      </c>
      <c r="D46"/>
      <c r="E46" s="17"/>
      <c r="F46"/>
      <c r="G46"/>
      <c r="H46"/>
    </row>
  </sheetData>
  <sheetProtection algorithmName="SHA-512" hashValue="uPbdSzXXZ59ZJjRQjrysC3Wm/sSkz3eBlbPTJMZ1CB3ZwebQr3RPIlvOpSWViiBNqY247+6vUom1N121D300cg==" saltValue="+pYsdALosIgFzQSOAmW9Lg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H46"/>
  <sheetViews>
    <sheetView zoomScaleNormal="100" workbookViewId="0">
      <selection activeCell="H12" sqref="H12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8" width="10.7109375" style="2" customWidth="1"/>
    <col min="9" max="16384" width="9.28515625" style="2"/>
  </cols>
  <sheetData>
    <row r="1" spans="1:8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  <c r="D2" s="3"/>
    </row>
    <row r="3" spans="1:8" x14ac:dyDescent="0.25">
      <c r="A3" s="1" t="s">
        <v>0</v>
      </c>
      <c r="B3" s="117"/>
      <c r="C3" s="123"/>
      <c r="D3" s="1"/>
      <c r="E3" s="1"/>
      <c r="F3" s="11" t="s">
        <v>117</v>
      </c>
      <c r="G3" s="286">
        <v>12.33</v>
      </c>
      <c r="H3" s="33" t="s">
        <v>12</v>
      </c>
    </row>
    <row r="4" spans="1:8" x14ac:dyDescent="0.25">
      <c r="A4" s="1" t="s">
        <v>4</v>
      </c>
      <c r="B4" s="295" t="s">
        <v>51</v>
      </c>
      <c r="C4" s="160"/>
      <c r="D4" s="1"/>
      <c r="E4" s="1"/>
      <c r="F4" s="11" t="s">
        <v>116</v>
      </c>
      <c r="G4" s="287">
        <v>0.3</v>
      </c>
      <c r="H4" s="1"/>
    </row>
    <row r="5" spans="1:8" ht="15" customHeight="1" x14ac:dyDescent="0.25">
      <c r="A5" s="173" t="s">
        <v>118</v>
      </c>
      <c r="B5" s="276" t="s">
        <v>50</v>
      </c>
      <c r="C5" s="160"/>
      <c r="D5" s="173"/>
      <c r="E5" s="173"/>
      <c r="F5" s="174" t="s">
        <v>115</v>
      </c>
      <c r="G5" s="288">
        <v>11.6</v>
      </c>
      <c r="H5" s="175" t="s">
        <v>13</v>
      </c>
    </row>
    <row r="6" spans="1:8" x14ac:dyDescent="0.25">
      <c r="A6" s="1" t="s">
        <v>164</v>
      </c>
      <c r="B6" s="296" t="s">
        <v>48</v>
      </c>
      <c r="C6" s="160"/>
      <c r="D6" s="3"/>
      <c r="E6" s="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43060</v>
      </c>
      <c r="C8" s="160"/>
    </row>
    <row r="9" spans="1:8" ht="15" customHeight="1" x14ac:dyDescent="0.25">
      <c r="A9" s="173" t="s">
        <v>122</v>
      </c>
      <c r="B9" s="117" t="s">
        <v>2</v>
      </c>
      <c r="C9" s="160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5" t="s">
        <v>52</v>
      </c>
      <c r="C10" s="123"/>
      <c r="F10" s="119">
        <v>32.164700000000003</v>
      </c>
      <c r="G10" s="119">
        <v>85.711200000000005</v>
      </c>
      <c r="H10" s="119">
        <v>390</v>
      </c>
    </row>
    <row r="11" spans="1:8" x14ac:dyDescent="0.25">
      <c r="A11" s="26" t="s">
        <v>9</v>
      </c>
      <c r="B11" s="1"/>
      <c r="C11" s="35" t="s">
        <v>53</v>
      </c>
      <c r="D11" s="1"/>
      <c r="E11" s="6"/>
      <c r="F11" s="34">
        <v>31.866700000000002</v>
      </c>
      <c r="G11" s="41">
        <v>85.15</v>
      </c>
      <c r="H11" s="25">
        <v>200</v>
      </c>
    </row>
    <row r="13" spans="1:8" x14ac:dyDescent="0.25">
      <c r="G13" s="2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4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6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6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11"/>
    </row>
    <row r="19" spans="1:8" x14ac:dyDescent="0.25">
      <c r="A19" s="4"/>
      <c r="B19" s="6">
        <v>2</v>
      </c>
      <c r="C19" s="10">
        <f>G5</f>
        <v>11.6</v>
      </c>
      <c r="D19" s="29">
        <v>22.23</v>
      </c>
      <c r="E19" s="29">
        <v>2.39</v>
      </c>
      <c r="F19" s="105">
        <v>0.60408077637023316</v>
      </c>
      <c r="G19" s="22">
        <f>D19/(C19+E19)^F19</f>
        <v>4.5161983541825679</v>
      </c>
      <c r="H19" s="1"/>
    </row>
    <row r="20" spans="1:8" x14ac:dyDescent="0.25">
      <c r="A20" s="4"/>
      <c r="B20" s="6">
        <v>5</v>
      </c>
      <c r="C20" s="10">
        <f t="shared" ref="C20:C25" si="0">C19</f>
        <v>11.6</v>
      </c>
      <c r="D20" s="29">
        <v>26.5</v>
      </c>
      <c r="E20" s="29">
        <v>2.33</v>
      </c>
      <c r="F20" s="109">
        <v>0.60001065439479773</v>
      </c>
      <c r="G20" s="22">
        <f t="shared" ref="G20:G25" si="1">D20/(C20+E20)^F20</f>
        <v>5.4558574672603557</v>
      </c>
      <c r="H20" s="1"/>
    </row>
    <row r="21" spans="1:8" x14ac:dyDescent="0.25">
      <c r="A21" s="4"/>
      <c r="B21" s="6">
        <v>10</v>
      </c>
      <c r="C21" s="10">
        <f t="shared" si="0"/>
        <v>11.6</v>
      </c>
      <c r="D21" s="29">
        <v>29.48</v>
      </c>
      <c r="E21" s="29">
        <v>2.2400000000000002</v>
      </c>
      <c r="F21" s="105">
        <v>0.59152772737576698</v>
      </c>
      <c r="G21" s="22">
        <f t="shared" si="1"/>
        <v>6.23037003597892</v>
      </c>
      <c r="H21" s="1"/>
    </row>
    <row r="22" spans="1:8" x14ac:dyDescent="0.25">
      <c r="A22" s="1"/>
      <c r="B22" s="6">
        <v>25</v>
      </c>
      <c r="C22" s="10">
        <f t="shared" si="0"/>
        <v>11.6</v>
      </c>
      <c r="D22" s="29">
        <v>32.44</v>
      </c>
      <c r="E22" s="29">
        <v>1.89</v>
      </c>
      <c r="F22" s="105">
        <v>0.57466714229416738</v>
      </c>
      <c r="G22" s="22">
        <f t="shared" si="1"/>
        <v>7.2727742595005642</v>
      </c>
      <c r="H22" s="1"/>
    </row>
    <row r="23" spans="1:8" x14ac:dyDescent="0.25">
      <c r="A23" s="1"/>
      <c r="B23" s="6">
        <v>50</v>
      </c>
      <c r="C23" s="10">
        <f t="shared" si="0"/>
        <v>11.6</v>
      </c>
      <c r="D23" s="29">
        <v>35.19</v>
      </c>
      <c r="E23" s="29">
        <v>1.88</v>
      </c>
      <c r="F23" s="105">
        <v>0.56651506310598132</v>
      </c>
      <c r="G23" s="22">
        <f>D23/(C23+E23)^F23</f>
        <v>8.0618168263740593</v>
      </c>
      <c r="H23" s="1"/>
    </row>
    <row r="24" spans="1:8" x14ac:dyDescent="0.25">
      <c r="A24" s="1"/>
      <c r="B24" s="6">
        <v>100</v>
      </c>
      <c r="C24" s="10">
        <f t="shared" si="0"/>
        <v>11.6</v>
      </c>
      <c r="D24" s="29">
        <v>36.369999999999997</v>
      </c>
      <c r="E24" s="29">
        <v>1.5</v>
      </c>
      <c r="F24" s="105">
        <v>0.54962790280641971</v>
      </c>
      <c r="G24" s="22">
        <f t="shared" si="1"/>
        <v>8.8442258006456367</v>
      </c>
      <c r="H24" s="1"/>
    </row>
    <row r="25" spans="1:8" x14ac:dyDescent="0.25">
      <c r="A25" s="1"/>
      <c r="B25" s="6">
        <v>200</v>
      </c>
      <c r="C25" s="10">
        <f t="shared" si="0"/>
        <v>11.6</v>
      </c>
      <c r="D25" s="10">
        <v>37.39</v>
      </c>
      <c r="E25" s="29">
        <v>1.23</v>
      </c>
      <c r="F25" s="105">
        <v>0.53306284337685039</v>
      </c>
      <c r="G25" s="22">
        <f t="shared" si="1"/>
        <v>9.5940286845697944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6.6406112369007291</v>
      </c>
      <c r="C31" s="10">
        <f>$D$20/(A31+$E$20)^$F$20</f>
        <v>8.0199982218141646</v>
      </c>
      <c r="D31" s="10">
        <f>$D$21/(A31+$E$21)^$F$21</f>
        <v>9.1404647677444046</v>
      </c>
      <c r="E31" s="10">
        <f>$D$22/(A31+$E$22)^$F$22</f>
        <v>10.700000566277248</v>
      </c>
      <c r="F31" s="10">
        <f>$D$23/(A31+$E$23)^$F$23</f>
        <v>11.800836679724313</v>
      </c>
      <c r="G31" s="10">
        <f>$D$24/(A31+$E$24)^$F$24</f>
        <v>13.000002555520076</v>
      </c>
      <c r="H31" s="10">
        <f>$D$25/(A31+$E$25)^$F$25</f>
        <v>14.100788804778917</v>
      </c>
    </row>
    <row r="32" spans="1:8" x14ac:dyDescent="0.25">
      <c r="A32" s="1">
        <v>10</v>
      </c>
      <c r="B32" s="10">
        <f>$D$19/(A32+$E$19)^$F$19</f>
        <v>4.8599980981978907</v>
      </c>
      <c r="C32" s="10">
        <f>$D$20/(A32+$E$20)^$F$20</f>
        <v>5.8702473941936066</v>
      </c>
      <c r="D32" s="10">
        <f>$D$21/(A32+$E$21)^$F$21</f>
        <v>6.6999970152418538</v>
      </c>
      <c r="E32" s="10">
        <f>$D$22/(A32+$E$22)^$F$22</f>
        <v>7.8200433705930612</v>
      </c>
      <c r="F32" s="10">
        <f>$D$23/(A32+$E$23)^$F$23</f>
        <v>8.6600333228115254</v>
      </c>
      <c r="G32" s="10">
        <f>$D$24/(A32+$E$24)^$F$24</f>
        <v>9.5006686469909098</v>
      </c>
      <c r="H32" s="10">
        <f>$D$25/(A32+$E$25)^$F$25</f>
        <v>10.299995753558632</v>
      </c>
    </row>
    <row r="33" spans="1:8" x14ac:dyDescent="0.25">
      <c r="A33" s="1">
        <v>15</v>
      </c>
      <c r="B33" s="10">
        <f>$D$19/(A33+$E$19)^$F$19</f>
        <v>3.9600286527555122</v>
      </c>
      <c r="C33" s="10">
        <f>$D$20/(A33+$E$20)^$F$20</f>
        <v>4.7857888954265828</v>
      </c>
      <c r="D33" s="10">
        <f>$D$21/(A33+$E$21)^$F$21</f>
        <v>5.4711850382233278</v>
      </c>
      <c r="E33" s="10">
        <f>$D$22/(A33+$E$22)^$F$22</f>
        <v>6.3914945513143291</v>
      </c>
      <c r="F33" s="10">
        <f>$D$23/(A33+$E$23)^$F$23</f>
        <v>7.0973184203577864</v>
      </c>
      <c r="G33" s="10">
        <f>$D$24/(A33+$E$24)^$F$24</f>
        <v>7.7907658892802276</v>
      </c>
      <c r="H33" s="10">
        <f>$D$25/(A33+$E$25)^$F$25</f>
        <v>8.4640775453177213</v>
      </c>
    </row>
    <row r="34" spans="1:8" x14ac:dyDescent="0.25">
      <c r="A34" s="1">
        <v>30</v>
      </c>
      <c r="B34" s="10">
        <f>$D$19/(A34+$E$19)^$F$19</f>
        <v>2.719751622975155</v>
      </c>
      <c r="C34" s="10">
        <f>$D$20/(A34+$E$20)^$F$20</f>
        <v>3.2920495795577756</v>
      </c>
      <c r="D34" s="10">
        <f>$D$21/(A34+$E$21)^$F$21</f>
        <v>3.7780699390499954</v>
      </c>
      <c r="E34" s="10">
        <f>$D$22/(A34+$E$22)^$F$22</f>
        <v>4.4358821543617939</v>
      </c>
      <c r="F34" s="10">
        <f>$D$23/(A34+$E$23)^$F$23</f>
        <v>4.9505504995746952</v>
      </c>
      <c r="G34" s="10">
        <f>$D$24/(A34+$E$24)^$F$24</f>
        <v>5.4604698516774866</v>
      </c>
      <c r="H34" s="10">
        <f>$D$25/(A34+$E$25)^$F$25</f>
        <v>5.9711045246777763</v>
      </c>
    </row>
    <row r="35" spans="1:8" x14ac:dyDescent="0.25">
      <c r="A35" s="1">
        <v>60</v>
      </c>
      <c r="B35" s="10">
        <f>$D$19/(A35+$E$19)^$F$19</f>
        <v>1.8303957912225379</v>
      </c>
      <c r="C35" s="10">
        <f>$D$20/(A35+$E$20)^$F$20</f>
        <v>2.220283729551825</v>
      </c>
      <c r="D35" s="10">
        <f>$D$21/(A35+$E$21)^$F$21</f>
        <v>2.5602688682774679</v>
      </c>
      <c r="E35" s="10">
        <f>$D$22/(A35+$E$22)^$F$22</f>
        <v>3.0303683585017387</v>
      </c>
      <c r="F35" s="10">
        <f>$D$23/(A35+$E$23)^$F$23</f>
        <v>3.4000009056566904</v>
      </c>
      <c r="G35" s="10">
        <f>$D$24/(A35+$E$24)^$F$24</f>
        <v>3.7803118076472004</v>
      </c>
      <c r="H35" s="10">
        <f>$D$25/(A35+$E$25)^$F$25</f>
        <v>4.1705296777302383</v>
      </c>
    </row>
    <row r="36" spans="1:8" x14ac:dyDescent="0.25">
      <c r="A36" s="1"/>
      <c r="B36" s="1"/>
      <c r="C36" s="12"/>
      <c r="D36" s="12"/>
      <c r="E36" s="12"/>
      <c r="F36" s="12"/>
      <c r="G36" s="12"/>
      <c r="H36" s="12"/>
    </row>
    <row r="37" spans="1:8" x14ac:dyDescent="0.25">
      <c r="A37" s="1"/>
      <c r="B37" s="168" t="s">
        <v>14</v>
      </c>
      <c r="C37" s="168" t="s">
        <v>30</v>
      </c>
      <c r="D37" s="12"/>
      <c r="E37" s="10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 s="1"/>
      <c r="E38" s="6"/>
      <c r="F38" s="116"/>
      <c r="G38" s="1"/>
      <c r="H38" s="1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16.705417712121317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20.181216771396056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23.046138763086024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26.901991985892586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29.820660440757646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32.714791236588205</v>
      </c>
      <c r="D45" s="1"/>
      <c r="E45" s="1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35.488312104223667</v>
      </c>
      <c r="D46" s="1"/>
      <c r="E46" s="1"/>
      <c r="F46" s="1"/>
      <c r="G46" s="1"/>
      <c r="H46" s="1"/>
    </row>
  </sheetData>
  <sheetProtection algorithmName="SHA-512" hashValue="IK/igxvVAae3OoGbpRoBiZyp4z6iZGipPmVjLlI+D5slXWfxTsvGFedNxlMl9QsJv6fc/foO2S5gYeN2qT19hg==" saltValue="RH5ZzSLXKnShvzVbkRK1BQ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46"/>
  <sheetViews>
    <sheetView workbookViewId="0">
      <selection activeCell="B3" sqref="B3"/>
    </sheetView>
  </sheetViews>
  <sheetFormatPr defaultColWidth="9.28515625" defaultRowHeight="15" x14ac:dyDescent="0.25"/>
  <cols>
    <col min="1" max="1" width="10.7109375" style="2" customWidth="1"/>
    <col min="2" max="2" width="11.42578125" style="2" customWidth="1"/>
    <col min="3" max="8" width="10.7109375" style="2" customWidth="1"/>
    <col min="9" max="16384" width="9.28515625" style="2"/>
  </cols>
  <sheetData>
    <row r="1" spans="1:9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  <c r="I1" s="1"/>
    </row>
    <row r="2" spans="1:9" x14ac:dyDescent="0.25">
      <c r="A2" s="1"/>
      <c r="B2" s="1"/>
      <c r="C2" s="1"/>
      <c r="D2" s="26"/>
      <c r="E2" s="1"/>
      <c r="F2" s="1"/>
      <c r="G2" s="1"/>
      <c r="H2" s="1"/>
      <c r="I2" s="1"/>
    </row>
    <row r="3" spans="1:9" x14ac:dyDescent="0.25">
      <c r="A3" s="1" t="s">
        <v>0</v>
      </c>
      <c r="B3" s="117" t="s">
        <v>489</v>
      </c>
      <c r="C3" s="123"/>
      <c r="D3" s="1"/>
      <c r="E3" s="1"/>
      <c r="F3" s="11" t="s">
        <v>117</v>
      </c>
      <c r="G3" s="286">
        <v>27</v>
      </c>
      <c r="H3" s="33" t="s">
        <v>12</v>
      </c>
    </row>
    <row r="4" spans="1:9" x14ac:dyDescent="0.25">
      <c r="A4" s="1" t="s">
        <v>4</v>
      </c>
      <c r="B4" s="275" t="s">
        <v>490</v>
      </c>
      <c r="C4" s="160"/>
      <c r="D4" s="1"/>
      <c r="E4" s="1"/>
      <c r="F4" s="11" t="s">
        <v>116</v>
      </c>
      <c r="G4" s="287">
        <v>0.42</v>
      </c>
      <c r="H4" s="1"/>
    </row>
    <row r="5" spans="1:9" ht="15" customHeight="1" x14ac:dyDescent="0.25">
      <c r="A5" s="173" t="s">
        <v>118</v>
      </c>
      <c r="B5" s="117"/>
      <c r="C5" s="123"/>
      <c r="D5" s="173"/>
      <c r="E5" s="173"/>
      <c r="F5" s="174" t="s">
        <v>115</v>
      </c>
      <c r="G5" s="288">
        <v>21</v>
      </c>
      <c r="H5" s="175" t="s">
        <v>13</v>
      </c>
    </row>
    <row r="6" spans="1:9" x14ac:dyDescent="0.25">
      <c r="A6" s="1" t="s">
        <v>164</v>
      </c>
      <c r="B6" s="295" t="s">
        <v>478</v>
      </c>
      <c r="C6" s="160"/>
      <c r="D6" s="1"/>
      <c r="E6" s="1"/>
      <c r="F6" s="1"/>
      <c r="H6" s="1"/>
    </row>
    <row r="7" spans="1:9" x14ac:dyDescent="0.25">
      <c r="A7" s="1" t="s">
        <v>10</v>
      </c>
      <c r="B7" s="123"/>
      <c r="C7" s="123"/>
    </row>
    <row r="8" spans="1:9" x14ac:dyDescent="0.25">
      <c r="A8" s="1" t="s">
        <v>121</v>
      </c>
      <c r="B8" s="298">
        <v>42844</v>
      </c>
      <c r="C8" s="160"/>
    </row>
    <row r="9" spans="1:9" ht="15" customHeight="1" x14ac:dyDescent="0.25">
      <c r="A9" s="173" t="s">
        <v>122</v>
      </c>
      <c r="B9" s="276" t="s">
        <v>2</v>
      </c>
      <c r="C9" s="123"/>
      <c r="D9" s="173"/>
      <c r="E9" s="173"/>
      <c r="F9" s="178" t="s">
        <v>380</v>
      </c>
      <c r="G9" s="178" t="s">
        <v>381</v>
      </c>
      <c r="H9" s="178" t="s">
        <v>468</v>
      </c>
    </row>
    <row r="10" spans="1:9" x14ac:dyDescent="0.25">
      <c r="A10" s="1" t="s">
        <v>173</v>
      </c>
      <c r="B10" s="275"/>
      <c r="C10" s="160"/>
      <c r="F10" s="124"/>
      <c r="G10" s="124"/>
      <c r="H10" s="124"/>
    </row>
    <row r="11" spans="1:9" x14ac:dyDescent="0.25">
      <c r="A11" s="26" t="s">
        <v>9</v>
      </c>
      <c r="B11" s="1"/>
      <c r="C11" s="35" t="s">
        <v>49</v>
      </c>
      <c r="D11" s="1"/>
      <c r="E11" s="6"/>
      <c r="F11" s="34">
        <v>31.444900000000001</v>
      </c>
      <c r="G11" s="25">
        <v>86.953199999999995</v>
      </c>
      <c r="H11" s="25">
        <v>290</v>
      </c>
    </row>
    <row r="14" spans="1:9" x14ac:dyDescent="0.25">
      <c r="A14" s="1"/>
      <c r="B14" s="1"/>
      <c r="C14" s="1"/>
      <c r="D14" s="1"/>
      <c r="E14" s="1"/>
      <c r="F14" s="1"/>
      <c r="G14" s="1"/>
      <c r="H14" s="1"/>
    </row>
    <row r="15" spans="1:9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9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21</v>
      </c>
      <c r="D19" s="29">
        <v>21.56</v>
      </c>
      <c r="E19" s="29">
        <v>1.88</v>
      </c>
      <c r="F19" s="105">
        <v>0.57155581947743472</v>
      </c>
      <c r="G19" s="22">
        <f>D19/(C19+E19)^F19</f>
        <v>3.6028298882242149</v>
      </c>
      <c r="H19" s="6"/>
    </row>
    <row r="20" spans="1:8" x14ac:dyDescent="0.25">
      <c r="A20" s="4"/>
      <c r="B20" s="6">
        <v>5</v>
      </c>
      <c r="C20" s="10">
        <f t="shared" ref="C20:C25" si="0">C19</f>
        <v>21</v>
      </c>
      <c r="D20" s="29">
        <v>27.25</v>
      </c>
      <c r="E20" s="29">
        <v>2.12</v>
      </c>
      <c r="F20" s="109">
        <v>0.58635911397815477</v>
      </c>
      <c r="G20" s="22">
        <f t="shared" ref="G20:G25" si="1">D20/(C20+E20)^F20</f>
        <v>4.3209556750702154</v>
      </c>
      <c r="H20" s="11"/>
    </row>
    <row r="21" spans="1:8" x14ac:dyDescent="0.25">
      <c r="A21" s="4"/>
      <c r="B21" s="6">
        <v>10</v>
      </c>
      <c r="C21" s="10">
        <f t="shared" si="0"/>
        <v>21</v>
      </c>
      <c r="D21" s="29">
        <v>30.33</v>
      </c>
      <c r="E21" s="29">
        <v>2.0299999999999998</v>
      </c>
      <c r="F21" s="105">
        <v>0.57981394793611807</v>
      </c>
      <c r="G21" s="22">
        <f t="shared" si="1"/>
        <v>4.920343058280781</v>
      </c>
      <c r="H21" s="1"/>
    </row>
    <row r="22" spans="1:8" x14ac:dyDescent="0.25">
      <c r="A22" s="1"/>
      <c r="B22" s="6">
        <v>25</v>
      </c>
      <c r="C22" s="10">
        <f t="shared" si="0"/>
        <v>21</v>
      </c>
      <c r="D22" s="29">
        <v>32.9</v>
      </c>
      <c r="E22" s="29">
        <v>1.65</v>
      </c>
      <c r="F22" s="105">
        <v>0.55940559387863109</v>
      </c>
      <c r="G22" s="22">
        <f t="shared" si="1"/>
        <v>5.7433219669144231</v>
      </c>
      <c r="H22" s="1"/>
    </row>
    <row r="23" spans="1:8" x14ac:dyDescent="0.25">
      <c r="A23" s="1"/>
      <c r="B23" s="6">
        <v>50</v>
      </c>
      <c r="C23" s="10">
        <f t="shared" si="0"/>
        <v>21</v>
      </c>
      <c r="D23" s="29">
        <v>33.46</v>
      </c>
      <c r="E23" s="29">
        <v>1.23</v>
      </c>
      <c r="F23" s="105">
        <v>0.53384308942256109</v>
      </c>
      <c r="G23" s="22">
        <f>D23/(C23+E23)^F23</f>
        <v>6.389569709327886</v>
      </c>
      <c r="H23" s="1"/>
    </row>
    <row r="24" spans="1:8" x14ac:dyDescent="0.25">
      <c r="A24" s="1"/>
      <c r="B24" s="6">
        <v>100</v>
      </c>
      <c r="C24" s="10">
        <f t="shared" si="0"/>
        <v>21</v>
      </c>
      <c r="D24" s="29">
        <v>35.79</v>
      </c>
      <c r="E24" s="29">
        <v>1.3</v>
      </c>
      <c r="F24" s="105">
        <v>0.52173143342519668</v>
      </c>
      <c r="G24" s="22">
        <f t="shared" si="1"/>
        <v>7.0844912705334711</v>
      </c>
      <c r="H24" s="1"/>
    </row>
    <row r="25" spans="1:8" x14ac:dyDescent="0.25">
      <c r="A25" s="1"/>
      <c r="B25" s="6">
        <v>200</v>
      </c>
      <c r="C25" s="10">
        <f t="shared" si="0"/>
        <v>21</v>
      </c>
      <c r="D25" s="29">
        <v>33.840000000000003</v>
      </c>
      <c r="E25" s="29">
        <v>0.48</v>
      </c>
      <c r="F25" s="105">
        <v>0.48218585830037597</v>
      </c>
      <c r="G25" s="22">
        <f t="shared" si="1"/>
        <v>7.7115603770987189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7.1601185061135446</v>
      </c>
      <c r="C31" s="10">
        <f>$D$20/(A31+$E$20)^$F$20</f>
        <v>8.6199965669411025</v>
      </c>
      <c r="D31" s="10">
        <f>$D$21/(A31+$E$21)^$F$21</f>
        <v>9.7902977384239716</v>
      </c>
      <c r="E31" s="10">
        <f>$D$22/(A31+$E$22)^$F$22</f>
        <v>11.400000405988122</v>
      </c>
      <c r="F31" s="10">
        <f>$D$23/(A31+$E$23)^$F$23</f>
        <v>12.600680019976924</v>
      </c>
      <c r="G31" s="10">
        <f>$D$24/(A31+$E$24)^$F$24</f>
        <v>13.700001279870008</v>
      </c>
      <c r="H31" s="10">
        <f>$D$25/(A31+$E$25)^$F$25</f>
        <v>14.900499137814563</v>
      </c>
    </row>
    <row r="32" spans="1:8" x14ac:dyDescent="0.25">
      <c r="A32" s="1">
        <v>10</v>
      </c>
      <c r="B32" s="10">
        <f>$D$19/(A32+$E$19)^$F$19</f>
        <v>5.2399985281267014</v>
      </c>
      <c r="C32" s="10">
        <f>$D$20/(A32+$E$20)^$F$20</f>
        <v>6.3102253712600094</v>
      </c>
      <c r="D32" s="10">
        <f>$D$21/(A32+$E$21)^$F$21</f>
        <v>7.1700029128647236</v>
      </c>
      <c r="E32" s="10">
        <f>$D$22/(A32+$E$22)^$F$22</f>
        <v>8.3308096304543415</v>
      </c>
      <c r="F32" s="10">
        <f>$D$23/(A32+$E$23)^$F$23</f>
        <v>9.2000028625922869</v>
      </c>
      <c r="G32" s="10">
        <f>$D$24/(A32+$E$24)^$F$24</f>
        <v>10.100376727616498</v>
      </c>
      <c r="H32" s="10">
        <f>$D$25/(A32+$E$25)^$F$25</f>
        <v>10.900001896830188</v>
      </c>
    </row>
    <row r="33" spans="1:8" x14ac:dyDescent="0.25">
      <c r="A33" s="1">
        <v>15</v>
      </c>
      <c r="B33" s="10">
        <f>$D$19/(A33+$E$19)^$F$19</f>
        <v>4.2868362495631471</v>
      </c>
      <c r="C33" s="10">
        <f>$D$20/(A33+$E$20)^$F$20</f>
        <v>5.1533582489752705</v>
      </c>
      <c r="D33" s="10">
        <f>$D$21/(A33+$E$21)^$F$21</f>
        <v>5.8613409473507083</v>
      </c>
      <c r="E33" s="10">
        <f>$D$22/(A33+$E$22)^$F$22</f>
        <v>6.8222863009554313</v>
      </c>
      <c r="F33" s="10">
        <f>$D$23/(A33+$E$23)^$F$23</f>
        <v>7.5579803562155234</v>
      </c>
      <c r="G33" s="10">
        <f>$D$24/(A33+$E$24)^$F$24</f>
        <v>8.3430591373331229</v>
      </c>
      <c r="H33" s="10">
        <f>$D$25/(A33+$E$25)^$F$25</f>
        <v>9.0310786523965962</v>
      </c>
    </row>
    <row r="34" spans="1:8" x14ac:dyDescent="0.25">
      <c r="A34" s="1">
        <v>30</v>
      </c>
      <c r="B34" s="10">
        <f>$D$19/(A34+$E$19)^$F$19</f>
        <v>2.9806028692500215</v>
      </c>
      <c r="C34" s="10">
        <f>$D$20/(A34+$E$20)^$F$20</f>
        <v>3.5633209235990235</v>
      </c>
      <c r="D34" s="10">
        <f>$D$21/(A34+$E$21)^$F$21</f>
        <v>4.0637735365928513</v>
      </c>
      <c r="E34" s="10">
        <f>$D$22/(A34+$E$22)^$F$22</f>
        <v>4.7629766148959991</v>
      </c>
      <c r="F34" s="10">
        <f>$D$23/(A34+$E$23)^$F$23</f>
        <v>5.3291630888958945</v>
      </c>
      <c r="G34" s="10">
        <f>$D$24/(A34+$E$24)^$F$24</f>
        <v>5.9359359669989109</v>
      </c>
      <c r="H34" s="10">
        <f>$D$25/(A34+$E$25)^$F$25</f>
        <v>6.5141735657004585</v>
      </c>
    </row>
    <row r="35" spans="1:8" x14ac:dyDescent="0.25">
      <c r="A35" s="1">
        <v>60</v>
      </c>
      <c r="B35" s="10">
        <f>$D$19/(A35+$E$19)^$F$19</f>
        <v>2.0402235384166953</v>
      </c>
      <c r="C35" s="10">
        <f>$D$20/(A35+$E$20)^$F$20</f>
        <v>2.4204098082453371</v>
      </c>
      <c r="D35" s="10">
        <f>$D$21/(A35+$E$21)^$F$21</f>
        <v>2.7701092309088016</v>
      </c>
      <c r="E35" s="10">
        <f>$D$22/(A35+$E$22)^$F$22</f>
        <v>3.2801773075217038</v>
      </c>
      <c r="F35" s="10">
        <f>$D$23/(A35+$E$23)^$F$23</f>
        <v>3.7202096562219</v>
      </c>
      <c r="G35" s="10">
        <f>$D$24/(A35+$E$24)^$F$24</f>
        <v>4.1801068468493394</v>
      </c>
      <c r="H35" s="10">
        <f>$D$25/(A35+$E$25)^$F$25</f>
        <v>4.6812555277202499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"/>
      <c r="E37" s="1"/>
      <c r="F37" s="1"/>
      <c r="G37" s="1"/>
      <c r="H37" s="1"/>
    </row>
    <row r="38" spans="1:8" x14ac:dyDescent="0.25">
      <c r="A38" s="1"/>
      <c r="B38" s="168" t="s">
        <v>19</v>
      </c>
      <c r="C38" s="284" t="s">
        <v>31</v>
      </c>
      <c r="D38" s="12"/>
      <c r="E38" s="12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2"/>
      <c r="E39" s="10"/>
      <c r="F39" s="12"/>
      <c r="G39" s="12"/>
      <c r="H39" s="12"/>
    </row>
    <row r="40" spans="1:8" x14ac:dyDescent="0.25">
      <c r="A40" s="1"/>
      <c r="B40" s="168">
        <v>2</v>
      </c>
      <c r="C40" s="169">
        <f t="shared" ref="C40:C46" si="2">$G$4*G19*$G$3</f>
        <v>40.856090932462592</v>
      </c>
      <c r="D40" s="1"/>
      <c r="E40" s="6"/>
      <c r="F40" s="116"/>
      <c r="G40" s="1"/>
      <c r="H40" s="1"/>
    </row>
    <row r="41" spans="1:8" x14ac:dyDescent="0.25">
      <c r="A41" s="1"/>
      <c r="B41" s="168">
        <v>5</v>
      </c>
      <c r="C41" s="170">
        <f t="shared" si="2"/>
        <v>48.999637355296244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55.796690280904059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65.129271104809561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72.457720503778233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80.338131007849555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87.449094676299467</v>
      </c>
      <c r="D46" s="1"/>
      <c r="E46" s="6"/>
      <c r="F46" s="1"/>
      <c r="G46" s="1"/>
      <c r="H46" s="1"/>
    </row>
  </sheetData>
  <sheetProtection algorithmName="SHA-512" hashValue="3bVZvSTxwIMnhGJH8N3Ahl79X7zqeV148EMTDhY6PrMv3pIr1D8CMoWy7ikTlI4V0gUzA4q/rW+UV06o5sqk4g==" saltValue="pNdfYHMSE/B6ba7lf4hvqQ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I46"/>
  <sheetViews>
    <sheetView zoomScaleNormal="100" zoomScaleSheetLayoutView="100" workbookViewId="0">
      <selection activeCell="H10" sqref="H10"/>
    </sheetView>
  </sheetViews>
  <sheetFormatPr defaultColWidth="9.28515625" defaultRowHeight="15" x14ac:dyDescent="0.25"/>
  <cols>
    <col min="1" max="1" width="10.7109375" style="2" customWidth="1"/>
    <col min="2" max="2" width="11.28515625" style="2" customWidth="1"/>
    <col min="3" max="8" width="10.7109375" style="2" customWidth="1"/>
    <col min="9" max="16384" width="9.28515625" style="2"/>
  </cols>
  <sheetData>
    <row r="1" spans="1:8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  <c r="D2" s="3"/>
    </row>
    <row r="3" spans="1:8" x14ac:dyDescent="0.25">
      <c r="A3" s="1" t="s">
        <v>0</v>
      </c>
      <c r="B3" s="117" t="s">
        <v>55</v>
      </c>
      <c r="C3" s="123"/>
      <c r="D3" s="1"/>
      <c r="E3" s="1"/>
      <c r="F3" s="11" t="s">
        <v>117</v>
      </c>
      <c r="G3" s="286">
        <v>30.2</v>
      </c>
      <c r="H3" s="33" t="s">
        <v>12</v>
      </c>
    </row>
    <row r="4" spans="1:8" x14ac:dyDescent="0.25">
      <c r="A4" s="1" t="s">
        <v>4</v>
      </c>
      <c r="B4" s="275" t="s">
        <v>56</v>
      </c>
      <c r="C4" s="160"/>
      <c r="D4" s="1"/>
      <c r="E4" s="1"/>
      <c r="F4" s="11" t="s">
        <v>116</v>
      </c>
      <c r="G4" s="287">
        <v>0.32</v>
      </c>
      <c r="H4" s="1"/>
    </row>
    <row r="5" spans="1:8" ht="15" customHeight="1" x14ac:dyDescent="0.25">
      <c r="A5" s="173" t="s">
        <v>118</v>
      </c>
      <c r="B5" s="276" t="s">
        <v>123</v>
      </c>
      <c r="C5" s="172"/>
      <c r="D5" s="173"/>
      <c r="E5" s="173"/>
      <c r="F5" s="174" t="s">
        <v>115</v>
      </c>
      <c r="G5" s="288">
        <v>18</v>
      </c>
      <c r="H5" s="175" t="s">
        <v>13</v>
      </c>
    </row>
    <row r="6" spans="1:8" x14ac:dyDescent="0.25">
      <c r="A6" s="1" t="s">
        <v>164</v>
      </c>
      <c r="B6" s="117" t="s">
        <v>480</v>
      </c>
      <c r="C6" s="12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43058</v>
      </c>
      <c r="C8" s="282"/>
    </row>
    <row r="9" spans="1:8" ht="15" customHeight="1" x14ac:dyDescent="0.25">
      <c r="A9" s="173" t="s">
        <v>122</v>
      </c>
      <c r="B9" s="117" t="s">
        <v>2</v>
      </c>
      <c r="C9" s="123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5" t="s">
        <v>57</v>
      </c>
      <c r="C10" s="160"/>
      <c r="F10" s="119">
        <v>34.597799999999999</v>
      </c>
      <c r="G10" s="119">
        <v>87.672200000000004</v>
      </c>
      <c r="H10" s="119">
        <v>698</v>
      </c>
    </row>
    <row r="11" spans="1:8" x14ac:dyDescent="0.25">
      <c r="A11" s="26" t="s">
        <v>9</v>
      </c>
      <c r="B11" s="26"/>
      <c r="C11" s="35" t="s">
        <v>58</v>
      </c>
      <c r="D11" s="1"/>
      <c r="E11" s="1"/>
      <c r="F11" s="44">
        <v>34.799999999999997</v>
      </c>
      <c r="G11" s="25">
        <v>87.683300000000003</v>
      </c>
      <c r="H11" s="25">
        <v>581</v>
      </c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9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</row>
    <row r="18" spans="1:9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9" x14ac:dyDescent="0.25">
      <c r="A19" s="4"/>
      <c r="B19" s="6">
        <v>2</v>
      </c>
      <c r="C19" s="10">
        <f>G5</f>
        <v>18</v>
      </c>
      <c r="D19" s="29">
        <v>17.920000000000002</v>
      </c>
      <c r="E19" s="29">
        <v>2.08</v>
      </c>
      <c r="F19" s="105">
        <v>0.58517806344676815</v>
      </c>
      <c r="G19" s="22">
        <f>D19/(C19+E19)^F19</f>
        <v>3.0973427107957607</v>
      </c>
      <c r="H19" s="6"/>
    </row>
    <row r="20" spans="1:9" x14ac:dyDescent="0.25">
      <c r="A20" s="4"/>
      <c r="B20" s="6">
        <v>5</v>
      </c>
      <c r="C20" s="10">
        <f t="shared" ref="C20:C25" si="0">C19</f>
        <v>18</v>
      </c>
      <c r="D20" s="29">
        <v>23.02</v>
      </c>
      <c r="E20" s="29">
        <v>2.2999999999999998</v>
      </c>
      <c r="F20" s="109">
        <v>0.59742182234452146</v>
      </c>
      <c r="G20" s="22">
        <f t="shared" ref="G20:G25" si="1">D20/(C20+E20)^F20</f>
        <v>3.8104709375743449</v>
      </c>
      <c r="H20" s="11"/>
    </row>
    <row r="21" spans="1:9" x14ac:dyDescent="0.25">
      <c r="A21" s="4"/>
      <c r="B21" s="6">
        <v>10</v>
      </c>
      <c r="C21" s="10">
        <f t="shared" si="0"/>
        <v>18</v>
      </c>
      <c r="D21" s="29">
        <v>27.72</v>
      </c>
      <c r="E21" s="29">
        <v>2.46</v>
      </c>
      <c r="F21" s="105">
        <v>0.60732933642551756</v>
      </c>
      <c r="G21" s="22">
        <f t="shared" si="1"/>
        <v>4.4324289210778671</v>
      </c>
      <c r="H21" s="1"/>
    </row>
    <row r="22" spans="1:9" x14ac:dyDescent="0.25">
      <c r="A22" s="1"/>
      <c r="B22" s="6">
        <v>25</v>
      </c>
      <c r="C22" s="10">
        <f t="shared" si="0"/>
        <v>18</v>
      </c>
      <c r="D22" s="29">
        <v>34</v>
      </c>
      <c r="E22" s="29">
        <v>2.52</v>
      </c>
      <c r="F22" s="105">
        <v>0.61252974785865621</v>
      </c>
      <c r="G22" s="22">
        <f t="shared" si="1"/>
        <v>5.3423366490896678</v>
      </c>
      <c r="H22" s="1"/>
    </row>
    <row r="23" spans="1:9" x14ac:dyDescent="0.25">
      <c r="A23" s="1"/>
      <c r="B23" s="6">
        <v>50</v>
      </c>
      <c r="C23" s="10">
        <f t="shared" si="0"/>
        <v>18</v>
      </c>
      <c r="D23" s="29">
        <v>39.94</v>
      </c>
      <c r="E23" s="43">
        <v>2.62</v>
      </c>
      <c r="F23" s="105">
        <v>0.62172070085686437</v>
      </c>
      <c r="G23" s="22">
        <f>D23/(C23+E23)^F23</f>
        <v>6.0853784628906462</v>
      </c>
      <c r="H23" s="1"/>
    </row>
    <row r="24" spans="1:9" x14ac:dyDescent="0.25">
      <c r="A24" s="1"/>
      <c r="B24" s="6">
        <v>100</v>
      </c>
      <c r="C24" s="10">
        <f t="shared" si="0"/>
        <v>18</v>
      </c>
      <c r="D24" s="29">
        <v>46.79</v>
      </c>
      <c r="E24" s="29">
        <v>2.9</v>
      </c>
      <c r="F24" s="105">
        <v>0.63094058066056191</v>
      </c>
      <c r="G24" s="22">
        <f t="shared" si="1"/>
        <v>6.8741527902817205</v>
      </c>
      <c r="H24" s="1"/>
      <c r="I24" s="21"/>
    </row>
    <row r="25" spans="1:9" x14ac:dyDescent="0.25">
      <c r="A25" s="1"/>
      <c r="B25" s="6">
        <v>200</v>
      </c>
      <c r="C25" s="10">
        <f t="shared" si="0"/>
        <v>18</v>
      </c>
      <c r="D25" s="29">
        <v>54.5</v>
      </c>
      <c r="E25" s="43">
        <v>3.07</v>
      </c>
      <c r="F25" s="105">
        <v>0.64070858144655796</v>
      </c>
      <c r="G25" s="22">
        <f t="shared" si="1"/>
        <v>7.7323815402947824</v>
      </c>
      <c r="H25" s="1"/>
      <c r="I25" s="2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21"/>
    </row>
    <row r="27" spans="1:9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9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9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9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9" x14ac:dyDescent="0.25">
      <c r="A31" s="1">
        <v>5</v>
      </c>
      <c r="B31" s="10">
        <f>$D$19/(A31+$E$19)^$F$19</f>
        <v>5.7005556503145414</v>
      </c>
      <c r="C31" s="10">
        <f>$D$20/(A31+$E$20)^$F$20</f>
        <v>7.0200047005214081</v>
      </c>
      <c r="D31" s="10">
        <f>$D$21/(A31+$E$21)^$F$21</f>
        <v>8.1800005519957271</v>
      </c>
      <c r="E31" s="10">
        <f>$D$22/(A31+$E$22)^$F$22</f>
        <v>9.8802839066942472</v>
      </c>
      <c r="F31" s="10">
        <f>$D$23/(A31+$E$23)^$F$23</f>
        <v>11.299998806910242</v>
      </c>
      <c r="G31" s="10">
        <f>$D$24/(A31+$E$24)^$F$24</f>
        <v>12.699999006936347</v>
      </c>
      <c r="H31" s="10">
        <f>$D$25/(A31+$E$25)^$F$25</f>
        <v>14.300619331079266</v>
      </c>
    </row>
    <row r="32" spans="1:9" x14ac:dyDescent="0.25">
      <c r="A32" s="1">
        <v>10</v>
      </c>
      <c r="B32" s="10">
        <f>$D$19/(A32+$E$19)^$F$19</f>
        <v>4.1700011255938083</v>
      </c>
      <c r="C32" s="10">
        <f>$D$20/(A32+$E$20)^$F$20</f>
        <v>5.1401077311194117</v>
      </c>
      <c r="D32" s="10">
        <f>$D$21/(A32+$E$21)^$F$21</f>
        <v>5.9903607928066407</v>
      </c>
      <c r="E32" s="10">
        <f>$D$22/(A32+$E$22)^$F$22</f>
        <v>7.2304214807546785</v>
      </c>
      <c r="F32" s="10">
        <f>$D$23/(A32+$E$23)^$F$23</f>
        <v>8.2576537140510951</v>
      </c>
      <c r="G32" s="10">
        <f>$D$24/(A32+$E$24)^$F$24</f>
        <v>9.3204510193691341</v>
      </c>
      <c r="H32" s="10">
        <f>$D$25/(A32+$E$25)^$F$25</f>
        <v>10.499996493941266</v>
      </c>
    </row>
    <row r="33" spans="1:8" x14ac:dyDescent="0.25">
      <c r="A33" s="1">
        <v>15</v>
      </c>
      <c r="B33" s="10">
        <f>$D$19/(A33+$E$19)^$F$19</f>
        <v>3.4049688445315618</v>
      </c>
      <c r="C33" s="10">
        <f>$D$20/(A33+$E$20)^$F$20</f>
        <v>4.1924661057901549</v>
      </c>
      <c r="D33" s="10">
        <f>$D$21/(A33+$E$21)^$F$21</f>
        <v>4.8804888198240235</v>
      </c>
      <c r="E33" s="10">
        <f>$D$22/(A33+$E$22)^$F$22</f>
        <v>5.8854176479914981</v>
      </c>
      <c r="F33" s="10">
        <f>$D$23/(A33+$E$23)^$F$23</f>
        <v>6.7102762024308182</v>
      </c>
      <c r="G33" s="10">
        <f>$D$24/(A33+$E$24)^$F$24</f>
        <v>7.5801399915398742</v>
      </c>
      <c r="H33" s="10">
        <f>$D$25/(A33+$E$25)^$F$25</f>
        <v>8.5320349817996828</v>
      </c>
    </row>
    <row r="34" spans="1:8" x14ac:dyDescent="0.25">
      <c r="A34" s="1">
        <v>30</v>
      </c>
      <c r="B34" s="10">
        <f>$D$19/(A34+$E$19)^$F$19</f>
        <v>2.3546301445998576</v>
      </c>
      <c r="C34" s="10">
        <f>$D$20/(A34+$E$20)^$F$20</f>
        <v>2.887186232403427</v>
      </c>
      <c r="D34" s="10">
        <f>$D$21/(A34+$E$21)^$F$21</f>
        <v>3.3489366701466095</v>
      </c>
      <c r="E34" s="10">
        <f>$D$22/(A34+$E$22)^$F$22</f>
        <v>4.0294125053080734</v>
      </c>
      <c r="F34" s="10">
        <f>$D$23/(A34+$E$23)^$F$23</f>
        <v>4.5755547273959465</v>
      </c>
      <c r="G34" s="10">
        <f>$D$24/(A34+$E$24)^$F$24</f>
        <v>5.1628865792463356</v>
      </c>
      <c r="H34" s="10">
        <f>$D$25/(A34+$E$25)^$F$25</f>
        <v>5.7927125030542204</v>
      </c>
    </row>
    <row r="35" spans="1:8" x14ac:dyDescent="0.25">
      <c r="A35" s="1">
        <v>60</v>
      </c>
      <c r="B35" s="10">
        <f>$D$19/(A35+$E$19)^$F$19</f>
        <v>1.6000811053021968</v>
      </c>
      <c r="C35" s="10">
        <f>$D$20/(A35+$E$20)^$F$20</f>
        <v>1.9500197065330429</v>
      </c>
      <c r="D35" s="10">
        <f>$D$21/(A35+$E$21)^$F$21</f>
        <v>2.2504608750937338</v>
      </c>
      <c r="E35" s="10">
        <f>$D$22/(A35+$E$22)^$F$22</f>
        <v>2.7000006617335091</v>
      </c>
      <c r="F35" s="10">
        <f>$D$23/(A35+$E$23)^$F$23</f>
        <v>3.0503828853333461</v>
      </c>
      <c r="G35" s="10">
        <f>$D$24/(A35+$E$24)^$F$24</f>
        <v>3.4301361817255724</v>
      </c>
      <c r="H35" s="10">
        <f>$D$25/(A35+$E$25)^$F$25</f>
        <v>3.8303156891583368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"/>
      <c r="E37" s="1"/>
      <c r="F37" s="1"/>
      <c r="G37" s="1"/>
      <c r="H37" s="1"/>
    </row>
    <row r="38" spans="1:8" x14ac:dyDescent="0.25">
      <c r="A38" s="1"/>
      <c r="B38" s="168" t="s">
        <v>19</v>
      </c>
      <c r="C38" s="284" t="s">
        <v>31</v>
      </c>
      <c r="D38" s="12"/>
      <c r="E38" s="12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2"/>
      <c r="E39" s="10"/>
      <c r="F39" s="12"/>
      <c r="G39" s="12"/>
      <c r="H39" s="12"/>
    </row>
    <row r="40" spans="1:8" x14ac:dyDescent="0.25">
      <c r="A40" s="1"/>
      <c r="B40" s="168">
        <v>2</v>
      </c>
      <c r="C40" s="169">
        <f t="shared" ref="C40:C46" si="2">$G$4*G19*$G$3</f>
        <v>29.932719957130232</v>
      </c>
      <c r="D40" s="1"/>
      <c r="E40" s="6"/>
      <c r="F40" s="116"/>
      <c r="G40" s="1"/>
      <c r="H40" s="1"/>
    </row>
    <row r="41" spans="1:8" x14ac:dyDescent="0.25">
      <c r="A41" s="1"/>
      <c r="B41" s="168">
        <v>5</v>
      </c>
      <c r="C41" s="170">
        <f t="shared" si="2"/>
        <v>36.824391140718468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42.834993093296511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51.628341376802545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58.809097465375203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66.431812565282542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74.725735205408782</v>
      </c>
      <c r="D46" s="1"/>
      <c r="E46" s="6"/>
      <c r="F46" s="1"/>
      <c r="G46" s="1"/>
      <c r="H46" s="1"/>
    </row>
  </sheetData>
  <sheetProtection algorithmName="SHA-512" hashValue="XzxjI7Ua1rkICMzS49b7LQRbaNkw6oMo3giGyOjwvcu6nExcgPzOBhoCqwZaYCrykS9Odly8FWBqkGwOrYeG4w==" saltValue="yVRSZvL4vK5H329omAx5BQ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H46"/>
  <sheetViews>
    <sheetView zoomScaleNormal="100" workbookViewId="0">
      <selection activeCell="C10" sqref="C10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8" width="10.7109375" style="2" customWidth="1"/>
    <col min="9" max="16384" width="9.28515625" style="2"/>
  </cols>
  <sheetData>
    <row r="1" spans="1:8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  <c r="D2" s="3"/>
    </row>
    <row r="3" spans="1:8" x14ac:dyDescent="0.25">
      <c r="A3" s="1" t="s">
        <v>0</v>
      </c>
      <c r="B3" s="117" t="s">
        <v>55</v>
      </c>
      <c r="C3" s="123"/>
      <c r="D3" s="1"/>
      <c r="E3" s="1"/>
      <c r="F3" s="11" t="s">
        <v>117</v>
      </c>
      <c r="G3" s="286">
        <v>30.35</v>
      </c>
      <c r="H3" s="33" t="s">
        <v>12</v>
      </c>
    </row>
    <row r="4" spans="1:8" x14ac:dyDescent="0.25">
      <c r="A4" s="1" t="s">
        <v>4</v>
      </c>
      <c r="B4" s="275" t="s">
        <v>60</v>
      </c>
      <c r="C4" s="160"/>
      <c r="D4" s="1"/>
      <c r="E4" s="1"/>
      <c r="F4" s="11" t="s">
        <v>116</v>
      </c>
      <c r="G4" s="287">
        <v>0.42</v>
      </c>
      <c r="H4" s="1"/>
    </row>
    <row r="5" spans="1:8" ht="15" customHeight="1" x14ac:dyDescent="0.25">
      <c r="A5" s="173" t="s">
        <v>118</v>
      </c>
      <c r="B5" s="189" t="s">
        <v>59</v>
      </c>
      <c r="C5" s="123"/>
      <c r="D5" s="173"/>
      <c r="E5" s="1"/>
      <c r="F5" s="174" t="s">
        <v>115</v>
      </c>
      <c r="G5" s="288">
        <v>18</v>
      </c>
      <c r="H5" s="175" t="s">
        <v>13</v>
      </c>
    </row>
    <row r="6" spans="1:8" x14ac:dyDescent="0.25">
      <c r="A6" s="1" t="s">
        <v>164</v>
      </c>
      <c r="B6" s="275" t="s">
        <v>481</v>
      </c>
      <c r="C6" s="12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42741</v>
      </c>
      <c r="C8" s="123"/>
    </row>
    <row r="9" spans="1:8" ht="15" customHeight="1" x14ac:dyDescent="0.25">
      <c r="A9" s="173" t="s">
        <v>122</v>
      </c>
      <c r="B9" s="117" t="s">
        <v>2</v>
      </c>
      <c r="C9" s="160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5" t="s">
        <v>61</v>
      </c>
      <c r="C10" s="123"/>
      <c r="F10" s="119">
        <v>34.597799999999999</v>
      </c>
      <c r="G10" s="119">
        <v>87.672200000000004</v>
      </c>
      <c r="H10" s="119">
        <v>698</v>
      </c>
    </row>
    <row r="11" spans="1:8" x14ac:dyDescent="0.25">
      <c r="A11" s="26" t="s">
        <v>9</v>
      </c>
      <c r="B11" s="26"/>
      <c r="C11" s="35" t="s">
        <v>62</v>
      </c>
      <c r="D11" s="1"/>
      <c r="E11" s="6"/>
      <c r="F11" s="44">
        <v>34.440600000000003</v>
      </c>
      <c r="G11" s="25">
        <v>85.723600000000005</v>
      </c>
      <c r="H11" s="25">
        <v>917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18</v>
      </c>
      <c r="D19" s="29">
        <v>19.78</v>
      </c>
      <c r="E19" s="29">
        <v>2.5299999999999998</v>
      </c>
      <c r="F19" s="105">
        <v>0.61105989907533231</v>
      </c>
      <c r="G19" s="22">
        <f>D19/(C19+E19)^F19</f>
        <v>3.1208868860712973</v>
      </c>
      <c r="H19" s="6"/>
    </row>
    <row r="20" spans="1:8" x14ac:dyDescent="0.25">
      <c r="A20" s="4"/>
      <c r="B20" s="6">
        <v>5</v>
      </c>
      <c r="C20" s="10">
        <f t="shared" ref="C20:C25" si="0">C19</f>
        <v>18</v>
      </c>
      <c r="D20" s="29">
        <v>24.84</v>
      </c>
      <c r="E20" s="29">
        <v>2.59</v>
      </c>
      <c r="F20" s="109">
        <v>0.61511900727095015</v>
      </c>
      <c r="G20" s="22">
        <f t="shared" ref="G20:G25" si="1">D20/(C20+E20)^F20</f>
        <v>3.8645292938358988</v>
      </c>
      <c r="H20" s="11"/>
    </row>
    <row r="21" spans="1:8" x14ac:dyDescent="0.25">
      <c r="A21" s="4"/>
      <c r="B21" s="6">
        <v>10</v>
      </c>
      <c r="C21" s="10">
        <f t="shared" si="0"/>
        <v>18</v>
      </c>
      <c r="D21" s="29">
        <v>28.94</v>
      </c>
      <c r="E21" s="29">
        <v>2.5499999999999998</v>
      </c>
      <c r="F21" s="105">
        <v>0.61544093024097735</v>
      </c>
      <c r="G21" s="22">
        <f t="shared" si="1"/>
        <v>4.5033986700439694</v>
      </c>
      <c r="H21" s="1"/>
    </row>
    <row r="22" spans="1:8" x14ac:dyDescent="0.25">
      <c r="A22" s="1"/>
      <c r="B22" s="6">
        <v>25</v>
      </c>
      <c r="C22" s="10">
        <f t="shared" si="0"/>
        <v>18</v>
      </c>
      <c r="D22" s="29">
        <v>35.049999999999997</v>
      </c>
      <c r="E22" s="29">
        <v>2.5299999999999998</v>
      </c>
      <c r="F22" s="105">
        <v>0.6162953780487912</v>
      </c>
      <c r="G22" s="22">
        <f t="shared" si="1"/>
        <v>5.4433815707197342</v>
      </c>
      <c r="H22" s="1"/>
    </row>
    <row r="23" spans="1:8" x14ac:dyDescent="0.25">
      <c r="A23" s="1"/>
      <c r="B23" s="6">
        <v>50</v>
      </c>
      <c r="C23" s="10">
        <f t="shared" si="0"/>
        <v>18</v>
      </c>
      <c r="D23" s="29">
        <v>40.270000000000003</v>
      </c>
      <c r="E23" s="29">
        <v>2.59</v>
      </c>
      <c r="F23" s="105">
        <v>0.61832649052017152</v>
      </c>
      <c r="G23" s="22">
        <f>D23/(C23+E23)^F23</f>
        <v>6.2045903214271902</v>
      </c>
      <c r="H23" s="1"/>
    </row>
    <row r="24" spans="1:8" x14ac:dyDescent="0.25">
      <c r="A24" s="1"/>
      <c r="B24" s="6">
        <v>100</v>
      </c>
      <c r="C24" s="10">
        <f t="shared" si="0"/>
        <v>18</v>
      </c>
      <c r="D24" s="29">
        <v>46.01</v>
      </c>
      <c r="E24" s="29">
        <v>2.75</v>
      </c>
      <c r="F24" s="105">
        <v>0.62098231285711791</v>
      </c>
      <c r="G24" s="22">
        <f t="shared" si="1"/>
        <v>6.9985373838567035</v>
      </c>
      <c r="H24" s="1"/>
    </row>
    <row r="25" spans="1:8" x14ac:dyDescent="0.25">
      <c r="A25" s="1"/>
      <c r="B25" s="6">
        <v>200</v>
      </c>
      <c r="C25" s="10">
        <f t="shared" si="0"/>
        <v>18</v>
      </c>
      <c r="D25" s="29">
        <v>49.9</v>
      </c>
      <c r="E25" s="29">
        <v>2.5</v>
      </c>
      <c r="F25" s="105">
        <v>0.61335031935106632</v>
      </c>
      <c r="G25" s="22">
        <f t="shared" si="1"/>
        <v>7.8259288657139372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63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5.7603919870602951</v>
      </c>
      <c r="C31" s="10">
        <f>$D$20/(A31+$E$20)^$F$20</f>
        <v>7.1399988883147945</v>
      </c>
      <c r="D31" s="10">
        <f>$D$21/(A31+$E$21)^$F$21</f>
        <v>8.3401533904653302</v>
      </c>
      <c r="E31" s="10">
        <f>$D$22/(A31+$E$22)^$F$22</f>
        <v>10.100045516753983</v>
      </c>
      <c r="F31" s="10">
        <f>$D$23/(A31+$E$23)^$F$23</f>
        <v>11.500184860578578</v>
      </c>
      <c r="G31" s="10">
        <f>$D$24/(A31+$E$24)^$F$24</f>
        <v>12.900650368679159</v>
      </c>
      <c r="H31" s="10">
        <f>$D$25/(A31+$E$25)^$F$25</f>
        <v>14.500448669130186</v>
      </c>
    </row>
    <row r="32" spans="1:8" x14ac:dyDescent="0.25">
      <c r="A32" s="1">
        <v>10</v>
      </c>
      <c r="B32" s="10">
        <f>$D$19/(A32+$E$19)^$F$19</f>
        <v>4.2199996664005326</v>
      </c>
      <c r="C32" s="10">
        <f>$D$20/(A32+$E$20)^$F$20</f>
        <v>5.2300381455537224</v>
      </c>
      <c r="D32" s="10">
        <f>$D$21/(A32+$E$21)^$F$21</f>
        <v>6.1002580986014943</v>
      </c>
      <c r="E32" s="10">
        <f>$D$22/(A32+$E$22)^$F$22</f>
        <v>7.3794815611384896</v>
      </c>
      <c r="F32" s="10">
        <f>$D$23/(A32+$E$23)^$F$23</f>
        <v>8.4102049711130906</v>
      </c>
      <c r="G32" s="10">
        <f>$D$24/(A32+$E$24)^$F$24</f>
        <v>9.4699996257299581</v>
      </c>
      <c r="H32" s="10">
        <f>$D$25/(A32+$E$25)^$F$25</f>
        <v>10.600111629811567</v>
      </c>
    </row>
    <row r="33" spans="1:8" x14ac:dyDescent="0.25">
      <c r="A33" s="1">
        <v>15</v>
      </c>
      <c r="B33" s="10">
        <f>$D$19/(A33+$E$19)^$F$19</f>
        <v>3.4371701786628068</v>
      </c>
      <c r="C33" s="10">
        <f>$D$20/(A33+$E$20)^$F$20</f>
        <v>4.2576004641140175</v>
      </c>
      <c r="D33" s="10">
        <f>$D$21/(A33+$E$21)^$F$21</f>
        <v>4.9627164047817827</v>
      </c>
      <c r="E33" s="10">
        <f>$D$22/(A33+$E$22)^$F$22</f>
        <v>5.9999962108177805</v>
      </c>
      <c r="F33" s="10">
        <f>$D$23/(A33+$E$23)^$F$23</f>
        <v>6.8391286509699301</v>
      </c>
      <c r="G33" s="10">
        <f>$D$24/(A33+$E$24)^$F$24</f>
        <v>7.7112032104366062</v>
      </c>
      <c r="H33" s="10">
        <f>$D$25/(A33+$E$25)^$F$25</f>
        <v>8.623483991721665</v>
      </c>
    </row>
    <row r="34" spans="1:8" x14ac:dyDescent="0.25">
      <c r="A34" s="1">
        <v>30</v>
      </c>
      <c r="B34" s="10">
        <f>$D$19/(A34+$E$19)^$F$19</f>
        <v>2.3557551009699673</v>
      </c>
      <c r="C34" s="10">
        <f>$D$20/(A34+$E$20)^$F$20</f>
        <v>2.9135645329221869</v>
      </c>
      <c r="D34" s="10">
        <f>$D$21/(A34+$E$21)^$F$21</f>
        <v>3.3932256142264094</v>
      </c>
      <c r="E34" s="10">
        <f>$D$22/(A34+$E$22)^$F$22</f>
        <v>4.0989662628422998</v>
      </c>
      <c r="F34" s="10">
        <f>$D$23/(A34+$E$23)^$F$23</f>
        <v>4.6709098692385354</v>
      </c>
      <c r="G34" s="10">
        <f>$D$24/(A34+$E$24)^$F$24</f>
        <v>5.2714830332050218</v>
      </c>
      <c r="H34" s="10">
        <f>$D$25/(A34+$E$25)^$F$25</f>
        <v>5.8991087620734737</v>
      </c>
    </row>
    <row r="35" spans="1:8" x14ac:dyDescent="0.25">
      <c r="A35" s="1">
        <v>60</v>
      </c>
      <c r="B35" s="10">
        <f>$D$19/(A35+$E$19)^$F$19</f>
        <v>1.5801876866324802</v>
      </c>
      <c r="C35" s="10">
        <f>$D$20/(A35+$E$20)^$F$20</f>
        <v>1.9502363601336361</v>
      </c>
      <c r="D35" s="10">
        <f>$D$21/(A35+$E$21)^$F$21</f>
        <v>2.2700044978257328</v>
      </c>
      <c r="E35" s="10">
        <f>$D$22/(A35+$E$22)^$F$22</f>
        <v>2.7401038641110222</v>
      </c>
      <c r="F35" s="10">
        <f>$D$23/(A35+$E$23)^$F$23</f>
        <v>3.1200031156799568</v>
      </c>
      <c r="G35" s="10">
        <f>$D$24/(A35+$E$24)^$F$24</f>
        <v>3.520188351443168</v>
      </c>
      <c r="H35" s="10">
        <f>$D$25/(A35+$E$25)^$F$25</f>
        <v>3.9499987980020266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"/>
      <c r="E37" s="1"/>
      <c r="F37" s="1"/>
      <c r="G37" s="1"/>
      <c r="H37" s="1"/>
    </row>
    <row r="38" spans="1:8" x14ac:dyDescent="0.25">
      <c r="A38" s="1"/>
      <c r="B38" s="168" t="s">
        <v>19</v>
      </c>
      <c r="C38" s="284" t="s">
        <v>31</v>
      </c>
      <c r="D38" s="12"/>
      <c r="E38" s="12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2"/>
      <c r="E39" s="10"/>
      <c r="F39" s="12"/>
      <c r="G39" s="12"/>
      <c r="H39" s="12"/>
    </row>
    <row r="40" spans="1:8" x14ac:dyDescent="0.25">
      <c r="A40" s="1"/>
      <c r="B40" s="168">
        <v>2</v>
      </c>
      <c r="C40" s="169">
        <f t="shared" ref="C40:C46" si="2">$G$4*G19*$G$3</f>
        <v>39.781945136750828</v>
      </c>
      <c r="D40" s="1"/>
      <c r="E40" s="6"/>
      <c r="F40" s="116"/>
      <c r="G40" s="1"/>
      <c r="H40" s="1"/>
    </row>
    <row r="41" spans="1:8" x14ac:dyDescent="0.25">
      <c r="A41" s="1"/>
      <c r="B41" s="168">
        <v>5</v>
      </c>
      <c r="C41" s="170">
        <f t="shared" si="2"/>
        <v>49.261154908526201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57.404822847050475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69.386784881964445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79.089912827232396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89.210356032021394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99.757115251255556</v>
      </c>
      <c r="D46" s="1"/>
      <c r="E46" s="6"/>
      <c r="F46" s="1"/>
      <c r="G46" s="1"/>
      <c r="H46" s="1"/>
    </row>
  </sheetData>
  <sheetProtection algorithmName="SHA-512" hashValue="S2tVxoFUh+Nj328EdzDp+S11RGOmJwpQhbt40+r9d5nxxmQ1Cu90BLkXciQhkDzABRBEJVhoP39SafhRNPJHyg==" saltValue="ox5v47/lpTE2TlUcbBG/FQ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H46"/>
  <sheetViews>
    <sheetView zoomScaleNormal="100" workbookViewId="0">
      <selection activeCell="H10" sqref="H10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8" width="10.7109375" style="2" customWidth="1"/>
    <col min="9" max="16384" width="9.28515625" style="2"/>
  </cols>
  <sheetData>
    <row r="1" spans="1:8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  <c r="D2" s="3"/>
      <c r="E2" s="3"/>
    </row>
    <row r="3" spans="1:8" x14ac:dyDescent="0.25">
      <c r="A3" s="1" t="s">
        <v>0</v>
      </c>
      <c r="B3" s="117" t="s">
        <v>365</v>
      </c>
      <c r="C3" s="123"/>
      <c r="D3" s="1"/>
      <c r="E3" s="1"/>
      <c r="F3" s="11" t="s">
        <v>117</v>
      </c>
      <c r="G3" s="286">
        <v>17.36</v>
      </c>
      <c r="H3" s="33" t="s">
        <v>12</v>
      </c>
    </row>
    <row r="4" spans="1:8" x14ac:dyDescent="0.25">
      <c r="A4" s="1" t="s">
        <v>4</v>
      </c>
      <c r="B4" s="275" t="s">
        <v>364</v>
      </c>
      <c r="C4" s="160"/>
      <c r="D4" s="1"/>
      <c r="E4" s="1"/>
      <c r="F4" s="11" t="s">
        <v>116</v>
      </c>
      <c r="G4" s="287">
        <v>0.3</v>
      </c>
      <c r="H4" s="1"/>
    </row>
    <row r="5" spans="1:8" ht="15" customHeight="1" x14ac:dyDescent="0.25">
      <c r="A5" s="173" t="s">
        <v>118</v>
      </c>
      <c r="B5" s="276" t="s">
        <v>363</v>
      </c>
      <c r="C5" s="172"/>
      <c r="D5" s="173"/>
      <c r="E5" s="1"/>
      <c r="F5" s="174" t="s">
        <v>115</v>
      </c>
      <c r="G5" s="288">
        <v>5</v>
      </c>
      <c r="H5" s="175" t="s">
        <v>13</v>
      </c>
    </row>
    <row r="6" spans="1:8" x14ac:dyDescent="0.25">
      <c r="A6" s="1" t="s">
        <v>164</v>
      </c>
      <c r="B6" s="117" t="s">
        <v>488</v>
      </c>
      <c r="C6" s="123"/>
      <c r="D6" s="3"/>
      <c r="E6" s="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42850</v>
      </c>
      <c r="C8" s="282"/>
    </row>
    <row r="9" spans="1:8" ht="15" customHeight="1" x14ac:dyDescent="0.25">
      <c r="A9" s="173" t="s">
        <v>122</v>
      </c>
      <c r="B9" s="117" t="s">
        <v>2</v>
      </c>
      <c r="C9" s="123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5" t="s">
        <v>362</v>
      </c>
      <c r="C10" s="160"/>
      <c r="E10" s="5"/>
      <c r="F10" s="119">
        <v>34.24</v>
      </c>
      <c r="G10" s="119">
        <v>87.903999999999996</v>
      </c>
      <c r="H10" s="119">
        <v>777</v>
      </c>
    </row>
    <row r="11" spans="1:8" x14ac:dyDescent="0.25">
      <c r="A11" s="26" t="s">
        <v>9</v>
      </c>
      <c r="B11" s="1"/>
      <c r="C11" s="35" t="s">
        <v>65</v>
      </c>
      <c r="D11" s="1"/>
      <c r="E11" s="6"/>
      <c r="F11" s="44">
        <v>34.096699999999998</v>
      </c>
      <c r="G11" s="25">
        <v>87.991399999999999</v>
      </c>
      <c r="H11" s="25">
        <v>435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5</v>
      </c>
      <c r="D19" s="29">
        <v>16.23</v>
      </c>
      <c r="E19" s="29">
        <v>1.61</v>
      </c>
      <c r="F19" s="105">
        <v>0.55035542181062902</v>
      </c>
      <c r="G19" s="22">
        <f t="shared" ref="G19:G25" si="0">D19/(C19+E19)^F19</f>
        <v>5.740056928157351</v>
      </c>
      <c r="H19" s="6"/>
    </row>
    <row r="20" spans="1:8" x14ac:dyDescent="0.25">
      <c r="A20" s="4"/>
      <c r="B20" s="6">
        <v>5</v>
      </c>
      <c r="C20" s="10">
        <f t="shared" ref="C20:C25" si="1">C19</f>
        <v>5</v>
      </c>
      <c r="D20" s="29">
        <v>19.829999999999998</v>
      </c>
      <c r="E20" s="29">
        <v>1.63</v>
      </c>
      <c r="F20" s="109">
        <v>0.55423778738973384</v>
      </c>
      <c r="G20" s="22">
        <f t="shared" si="0"/>
        <v>6.9503851912153207</v>
      </c>
      <c r="H20" s="11"/>
    </row>
    <row r="21" spans="1:8" x14ac:dyDescent="0.25">
      <c r="A21" s="4"/>
      <c r="B21" s="6">
        <v>10</v>
      </c>
      <c r="C21" s="10">
        <f t="shared" si="1"/>
        <v>5</v>
      </c>
      <c r="D21" s="29">
        <v>23.37</v>
      </c>
      <c r="E21" s="29">
        <v>1.7</v>
      </c>
      <c r="F21" s="105">
        <v>0.56031620779420388</v>
      </c>
      <c r="G21" s="22">
        <f t="shared" si="0"/>
        <v>8.0499950179592474</v>
      </c>
      <c r="H21" s="1"/>
    </row>
    <row r="22" spans="1:8" x14ac:dyDescent="0.25">
      <c r="A22" s="1"/>
      <c r="B22" s="6">
        <v>25</v>
      </c>
      <c r="C22" s="10">
        <f t="shared" si="1"/>
        <v>5</v>
      </c>
      <c r="D22" s="29">
        <v>29.37</v>
      </c>
      <c r="E22" s="29">
        <v>1.91</v>
      </c>
      <c r="F22" s="105">
        <v>0.57313255871325652</v>
      </c>
      <c r="G22" s="22">
        <f t="shared" si="0"/>
        <v>9.7000002452697895</v>
      </c>
      <c r="H22" s="1"/>
    </row>
    <row r="23" spans="1:8" x14ac:dyDescent="0.25">
      <c r="A23" s="1"/>
      <c r="B23" s="6">
        <v>50</v>
      </c>
      <c r="C23" s="10">
        <f t="shared" si="1"/>
        <v>5</v>
      </c>
      <c r="D23" s="29">
        <v>33.97</v>
      </c>
      <c r="E23" s="29">
        <v>1.93</v>
      </c>
      <c r="F23" s="105">
        <v>0.57779257059727662</v>
      </c>
      <c r="G23" s="22">
        <f t="shared" si="0"/>
        <v>11.100080542651067</v>
      </c>
      <c r="H23" s="1"/>
    </row>
    <row r="24" spans="1:8" x14ac:dyDescent="0.25">
      <c r="A24" s="1"/>
      <c r="B24" s="6">
        <v>100</v>
      </c>
      <c r="C24" s="10">
        <f t="shared" si="1"/>
        <v>5</v>
      </c>
      <c r="D24" s="29">
        <v>39.54</v>
      </c>
      <c r="E24" s="29">
        <v>2.04</v>
      </c>
      <c r="F24" s="105">
        <v>0.58598650125706386</v>
      </c>
      <c r="G24" s="22">
        <f t="shared" si="0"/>
        <v>12.599999500062859</v>
      </c>
      <c r="H24" s="1"/>
    </row>
    <row r="25" spans="1:8" x14ac:dyDescent="0.25">
      <c r="A25" s="1"/>
      <c r="B25" s="6">
        <v>200</v>
      </c>
      <c r="C25" s="10">
        <f t="shared" si="1"/>
        <v>5</v>
      </c>
      <c r="D25" s="29">
        <v>46.43</v>
      </c>
      <c r="E25" s="29">
        <v>2.29</v>
      </c>
      <c r="F25" s="105">
        <v>0.59636026077123716</v>
      </c>
      <c r="G25" s="22">
        <f t="shared" si="0"/>
        <v>14.200455325994502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5.740056928157351</v>
      </c>
      <c r="C31" s="10">
        <f>$D$20/(A31+$E$20)^$F$20</f>
        <v>6.9503851912153207</v>
      </c>
      <c r="D31" s="10">
        <f>$D$21/(A31+$E$21)^$F$21</f>
        <v>8.0499950179592474</v>
      </c>
      <c r="E31" s="10">
        <f>$D$22/(A31+$E$22)^$F$22</f>
        <v>9.7000002452697895</v>
      </c>
      <c r="F31" s="10">
        <f>$D$23/(A31+$E$23)^$F$23</f>
        <v>11.100080542651067</v>
      </c>
      <c r="G31" s="10">
        <f>$D$24/(A31+$E$24)^$F$24</f>
        <v>12.599999500062859</v>
      </c>
      <c r="H31" s="10">
        <f>$D$25/(A31+$E$25)^$F$25</f>
        <v>14.200455325994502</v>
      </c>
    </row>
    <row r="32" spans="1:8" x14ac:dyDescent="0.25">
      <c r="A32" s="1">
        <v>10</v>
      </c>
      <c r="B32" s="10">
        <f>$D$19/(A32+$E$19)^$F$19</f>
        <v>4.2100023123678367</v>
      </c>
      <c r="C32" s="10">
        <f>$D$20/(A32+$E$20)^$F$20</f>
        <v>5.0902389619365938</v>
      </c>
      <c r="D32" s="10">
        <f>$D$21/(A32+$E$21)^$F$21</f>
        <v>5.8902924947369701</v>
      </c>
      <c r="E32" s="10">
        <f>$D$22/(A32+$E$22)^$F$22</f>
        <v>7.1000905213390508</v>
      </c>
      <c r="F32" s="10">
        <f>$D$23/(A32+$E$23)^$F$23</f>
        <v>8.1099970700851465</v>
      </c>
      <c r="G32" s="10">
        <f>$D$24/(A32+$E$24)^$F$24</f>
        <v>9.2003453740637422</v>
      </c>
      <c r="H32" s="10">
        <f>$D$25/(A32+$E$25)^$F$25</f>
        <v>10.399997590115937</v>
      </c>
    </row>
    <row r="33" spans="1:8" x14ac:dyDescent="0.25">
      <c r="A33" s="1">
        <v>15</v>
      </c>
      <c r="B33" s="10">
        <f>$D$19/(A33+$E$19)^$F$19</f>
        <v>3.4568574900322053</v>
      </c>
      <c r="C33" s="10">
        <f>$D$20/(A33+$E$20)^$F$20</f>
        <v>4.1750155306588441</v>
      </c>
      <c r="D33" s="10">
        <f>$D$21/(A33+$E$21)^$F$21</f>
        <v>4.8255948467524874</v>
      </c>
      <c r="E33" s="10">
        <f>$D$22/(A33+$E$22)^$F$22</f>
        <v>5.8078428717426167</v>
      </c>
      <c r="F33" s="10">
        <f>$D$23/(A33+$E$23)^$F$23</f>
        <v>6.6250122350329406</v>
      </c>
      <c r="G33" s="10">
        <f>$D$24/(A33+$E$24)^$F$24</f>
        <v>7.5060613245077823</v>
      </c>
      <c r="H33" s="10">
        <f>$D$25/(A33+$E$25)^$F$25</f>
        <v>8.4845133763624982</v>
      </c>
    </row>
    <row r="34" spans="1:8" x14ac:dyDescent="0.25">
      <c r="A34" s="1">
        <v>30</v>
      </c>
      <c r="B34" s="10">
        <f>$D$19/(A34+$E$19)^$F$19</f>
        <v>2.4259507327242216</v>
      </c>
      <c r="C34" s="10">
        <f>$D$20/(A34+$E$20)^$F$20</f>
        <v>2.923553577621099</v>
      </c>
      <c r="D34" s="10">
        <f>$D$21/(A34+$E$21)^$F$21</f>
        <v>3.3696972144462283</v>
      </c>
      <c r="E34" s="10">
        <f>$D$22/(A34+$E$22)^$F$22</f>
        <v>4.036031332751155</v>
      </c>
      <c r="F34" s="10">
        <f>$D$23/(A34+$E$23)^$F$23</f>
        <v>4.5917748714531399</v>
      </c>
      <c r="G34" s="10">
        <f>$D$24/(A34+$E$24)^$F$24</f>
        <v>5.1846707338809441</v>
      </c>
      <c r="H34" s="10">
        <f>$D$25/(A34+$E$25)^$F$25</f>
        <v>5.845887734332603</v>
      </c>
    </row>
    <row r="35" spans="1:8" x14ac:dyDescent="0.25">
      <c r="A35" s="1">
        <v>60</v>
      </c>
      <c r="B35" s="10">
        <f>$D$19/(A35+$E$19)^$F$19</f>
        <v>1.6802514308970025</v>
      </c>
      <c r="C35" s="10">
        <f>$D$20/(A35+$E$20)^$F$20</f>
        <v>2.0200041573973526</v>
      </c>
      <c r="D35" s="10">
        <f>$D$21/(A35+$E$21)^$F$21</f>
        <v>2.3202400471655209</v>
      </c>
      <c r="E35" s="10">
        <f>$D$22/(A35+$E$22)^$F$22</f>
        <v>2.7604983527092211</v>
      </c>
      <c r="F35" s="10">
        <f>$D$23/(A35+$E$23)^$F$23</f>
        <v>3.1314711547644474</v>
      </c>
      <c r="G35" s="10">
        <f>$D$24/(A35+$E$24)^$F$24</f>
        <v>3.5201015735856753</v>
      </c>
      <c r="H35" s="10">
        <f>$D$25/(A35+$E$25)^$F$25</f>
        <v>3.9507440975191881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"/>
      <c r="E37" s="1"/>
      <c r="F37" s="1"/>
      <c r="G37" s="1"/>
      <c r="H37" s="1"/>
    </row>
    <row r="38" spans="1:8" x14ac:dyDescent="0.25">
      <c r="A38" s="1"/>
      <c r="B38" s="168" t="s">
        <v>19</v>
      </c>
      <c r="C38" s="284" t="s">
        <v>31</v>
      </c>
      <c r="D38" s="12"/>
      <c r="E38" s="12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2"/>
      <c r="E39" s="10"/>
      <c r="F39" s="12"/>
      <c r="G39" s="12"/>
      <c r="H39" s="12"/>
    </row>
    <row r="40" spans="1:8" x14ac:dyDescent="0.25">
      <c r="A40" s="1"/>
      <c r="B40" s="168">
        <v>2</v>
      </c>
      <c r="C40" s="169">
        <f t="shared" ref="C40:C46" si="2">$G$4*G19*$G$3</f>
        <v>29.894216481843483</v>
      </c>
      <c r="D40" s="1"/>
      <c r="E40" s="6"/>
      <c r="F40" s="116"/>
      <c r="G40" s="1"/>
      <c r="H40" s="1"/>
    </row>
    <row r="41" spans="1:8" x14ac:dyDescent="0.25">
      <c r="A41" s="1"/>
      <c r="B41" s="168">
        <v>5</v>
      </c>
      <c r="C41" s="170">
        <f t="shared" si="2"/>
        <v>36.197606075849393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41.924374053531757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50.51760127736506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57.809219466126756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65.620797396327362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73.95597133777936</v>
      </c>
      <c r="D46" s="1"/>
      <c r="E46" s="6"/>
      <c r="F46" s="1"/>
      <c r="G46" s="1"/>
      <c r="H46" s="1"/>
    </row>
  </sheetData>
  <sheetProtection algorithmName="SHA-512" hashValue="79ET3s73NabyCKpJh+WGK9khGqvoYEChCpAw0Pw9f2F+RcWK/Cv+tAA87GoECu5IQVlT/MYmvmcvwfd0PpR7TQ==" saltValue="LGtpckCl2s7eKb2GmA9uXg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H46"/>
  <sheetViews>
    <sheetView zoomScaleNormal="100" workbookViewId="0">
      <selection activeCell="G5" sqref="G5"/>
    </sheetView>
  </sheetViews>
  <sheetFormatPr defaultColWidth="9.28515625" defaultRowHeight="15" x14ac:dyDescent="0.25"/>
  <cols>
    <col min="1" max="1" width="10.7109375" style="2" customWidth="1"/>
    <col min="2" max="2" width="11.28515625" style="2" customWidth="1"/>
    <col min="3" max="8" width="10.7109375" style="2" customWidth="1"/>
    <col min="9" max="16384" width="9.28515625" style="2"/>
  </cols>
  <sheetData>
    <row r="1" spans="1:8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  <c r="D2" s="3"/>
    </row>
    <row r="3" spans="1:8" x14ac:dyDescent="0.25">
      <c r="A3" s="1" t="s">
        <v>0</v>
      </c>
      <c r="B3" s="123"/>
      <c r="C3" s="123"/>
      <c r="D3" s="1"/>
      <c r="E3" s="1"/>
      <c r="F3" s="11" t="s">
        <v>117</v>
      </c>
      <c r="G3" s="286">
        <v>25.92</v>
      </c>
      <c r="H3" s="33" t="s">
        <v>12</v>
      </c>
    </row>
    <row r="4" spans="1:8" x14ac:dyDescent="0.25">
      <c r="A4" s="1" t="s">
        <v>4</v>
      </c>
      <c r="B4" s="275" t="s">
        <v>67</v>
      </c>
      <c r="C4" s="160"/>
      <c r="D4" s="1"/>
      <c r="E4" s="1"/>
      <c r="F4" s="11" t="s">
        <v>116</v>
      </c>
      <c r="G4" s="287">
        <v>0.42</v>
      </c>
      <c r="H4" s="1"/>
    </row>
    <row r="5" spans="1:8" ht="15" customHeight="1" x14ac:dyDescent="0.25">
      <c r="A5" s="173" t="s">
        <v>118</v>
      </c>
      <c r="B5" s="276" t="s">
        <v>66</v>
      </c>
      <c r="C5" s="172"/>
      <c r="D5" s="173"/>
      <c r="E5" s="173"/>
      <c r="F5" s="174" t="s">
        <v>115</v>
      </c>
      <c r="G5" s="288">
        <v>20</v>
      </c>
      <c r="H5" s="175" t="s">
        <v>13</v>
      </c>
    </row>
    <row r="6" spans="1:8" x14ac:dyDescent="0.25">
      <c r="A6" s="1" t="s">
        <v>164</v>
      </c>
      <c r="B6" s="275" t="s">
        <v>64</v>
      </c>
      <c r="C6" s="12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42437</v>
      </c>
      <c r="C8" s="172"/>
    </row>
    <row r="9" spans="1:8" ht="15" customHeight="1" x14ac:dyDescent="0.25">
      <c r="A9" s="173" t="s">
        <v>122</v>
      </c>
      <c r="B9" s="117" t="s">
        <v>2</v>
      </c>
      <c r="C9" s="123"/>
      <c r="D9" s="184"/>
      <c r="E9" s="190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5" t="s">
        <v>68</v>
      </c>
      <c r="C10" s="160"/>
      <c r="E10" s="5"/>
      <c r="F10" s="119">
        <v>34.863199999999999</v>
      </c>
      <c r="G10" s="119">
        <v>87.037899999999993</v>
      </c>
      <c r="H10" s="119">
        <v>726</v>
      </c>
    </row>
    <row r="11" spans="1:8" x14ac:dyDescent="0.25">
      <c r="A11" s="26" t="s">
        <v>9</v>
      </c>
      <c r="B11" s="26"/>
      <c r="C11" s="35" t="s">
        <v>69</v>
      </c>
      <c r="D11" s="1"/>
      <c r="E11" s="1"/>
      <c r="F11" s="34">
        <v>33.643900000000002</v>
      </c>
      <c r="G11" s="25">
        <v>86.786100000000005</v>
      </c>
      <c r="H11" s="25">
        <v>624</v>
      </c>
    </row>
    <row r="15" spans="1:8" ht="18.75" x14ac:dyDescent="0.35">
      <c r="A15" s="1"/>
      <c r="B15" s="1"/>
      <c r="C15" s="1"/>
      <c r="D15" s="576" t="s">
        <v>457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6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20</v>
      </c>
      <c r="D19" s="29">
        <v>16.579999999999998</v>
      </c>
      <c r="E19" s="29">
        <v>1.81</v>
      </c>
      <c r="F19" s="105">
        <v>0.56394252217250795</v>
      </c>
      <c r="G19" s="22">
        <f>D19/(C19+E19)^F19</f>
        <v>2.9151417264129003</v>
      </c>
      <c r="H19" s="11"/>
    </row>
    <row r="20" spans="1:8" x14ac:dyDescent="0.25">
      <c r="A20" s="4"/>
      <c r="B20" s="6">
        <v>5</v>
      </c>
      <c r="C20" s="10">
        <f t="shared" ref="C20:C25" si="0">C19</f>
        <v>20</v>
      </c>
      <c r="D20" s="29">
        <v>21.12</v>
      </c>
      <c r="E20" s="29">
        <v>1.88</v>
      </c>
      <c r="F20" s="105">
        <v>0.57258520084855247</v>
      </c>
      <c r="G20" s="22">
        <f t="shared" ref="G20:G25" si="1">D20/(C20+E20)^F20</f>
        <v>3.6091310455008321</v>
      </c>
      <c r="H20" s="1"/>
    </row>
    <row r="21" spans="1:8" x14ac:dyDescent="0.25">
      <c r="A21" s="4"/>
      <c r="B21" s="6">
        <v>10</v>
      </c>
      <c r="C21" s="10">
        <f t="shared" si="0"/>
        <v>20</v>
      </c>
      <c r="D21" s="29">
        <v>25.79</v>
      </c>
      <c r="E21" s="29">
        <v>2.09</v>
      </c>
      <c r="F21" s="105">
        <v>0.58438911382854697</v>
      </c>
      <c r="G21" s="22">
        <f t="shared" si="1"/>
        <v>4.225888158588516</v>
      </c>
      <c r="H21" s="1"/>
    </row>
    <row r="22" spans="1:8" x14ac:dyDescent="0.25">
      <c r="A22" s="1"/>
      <c r="B22" s="6">
        <v>25</v>
      </c>
      <c r="C22" s="10">
        <f t="shared" si="0"/>
        <v>20</v>
      </c>
      <c r="D22" s="29">
        <v>32.81</v>
      </c>
      <c r="E22" s="29">
        <v>2.34</v>
      </c>
      <c r="F22" s="105">
        <v>0.59807010038416497</v>
      </c>
      <c r="G22" s="22">
        <f t="shared" si="1"/>
        <v>5.1187029149320562</v>
      </c>
      <c r="H22" s="1"/>
    </row>
    <row r="23" spans="1:8" x14ac:dyDescent="0.25">
      <c r="A23" s="1"/>
      <c r="B23" s="6">
        <v>50</v>
      </c>
      <c r="C23" s="10">
        <f t="shared" si="0"/>
        <v>20</v>
      </c>
      <c r="D23" s="29">
        <v>37.67</v>
      </c>
      <c r="E23" s="29">
        <v>2.3199999999999998</v>
      </c>
      <c r="F23" s="105">
        <v>0.60042444721594579</v>
      </c>
      <c r="G23" s="22">
        <f>D23/(C23+E23)^F23</f>
        <v>5.837227993601565</v>
      </c>
      <c r="H23" s="1"/>
    </row>
    <row r="24" spans="1:8" x14ac:dyDescent="0.25">
      <c r="A24" s="1"/>
      <c r="B24" s="6">
        <v>100</v>
      </c>
      <c r="C24" s="10">
        <f t="shared" si="0"/>
        <v>20</v>
      </c>
      <c r="D24" s="29">
        <v>42.93</v>
      </c>
      <c r="E24" s="29">
        <v>2.34</v>
      </c>
      <c r="F24" s="105">
        <v>0.60316067208807433</v>
      </c>
      <c r="G24" s="22">
        <f t="shared" si="1"/>
        <v>6.5924520203451555</v>
      </c>
      <c r="H24" s="1"/>
    </row>
    <row r="25" spans="1:8" x14ac:dyDescent="0.25">
      <c r="A25" s="1"/>
      <c r="B25" s="6">
        <v>200</v>
      </c>
      <c r="C25" s="10">
        <f t="shared" si="0"/>
        <v>20</v>
      </c>
      <c r="D25" s="10">
        <v>51.42</v>
      </c>
      <c r="E25" s="29">
        <v>2.81</v>
      </c>
      <c r="F25" s="105">
        <v>0.619228810590846</v>
      </c>
      <c r="G25" s="22">
        <f t="shared" si="1"/>
        <v>7.4155226759756756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5.6200145841541334</v>
      </c>
      <c r="C31" s="10">
        <f>$D$20/(A31+$E$20)^$F$20</f>
        <v>7.000082681677176</v>
      </c>
      <c r="D31" s="10">
        <f>$D$21/(A31+$E$21)^$F$21</f>
        <v>8.2099959442562529</v>
      </c>
      <c r="E31" s="10">
        <f>$D$22/(A31+$E$22)^$F$22</f>
        <v>9.9599991401259729</v>
      </c>
      <c r="F31" s="10">
        <f>$D$23/(A31+$E$23)^$F$23</f>
        <v>11.400450998710037</v>
      </c>
      <c r="G31" s="10">
        <f>$D$24/(A31+$E$24)^$F$24</f>
        <v>12.900515685885381</v>
      </c>
      <c r="H31" s="10">
        <f>$D$25/(A31+$E$25)^$F$25</f>
        <v>14.400475556439597</v>
      </c>
    </row>
    <row r="32" spans="1:8" x14ac:dyDescent="0.25">
      <c r="A32" s="1">
        <v>10</v>
      </c>
      <c r="B32" s="10">
        <f>$D$19/(A32+$E$19)^$F$19</f>
        <v>4.1199999859762748</v>
      </c>
      <c r="C32" s="10">
        <f>$D$20/(A32+$E$20)^$F$20</f>
        <v>5.1199995914299103</v>
      </c>
      <c r="D32" s="10">
        <f>$D$21/(A32+$E$21)^$F$21</f>
        <v>6.0102591099059293</v>
      </c>
      <c r="E32" s="10">
        <f>$D$22/(A32+$E$22)^$F$22</f>
        <v>7.3000067765787771</v>
      </c>
      <c r="F32" s="10">
        <f>$D$23/(A32+$E$23)^$F$23</f>
        <v>8.3400045740945679</v>
      </c>
      <c r="G32" s="10">
        <f>$D$24/(A32+$E$24)^$F$24</f>
        <v>9.43023473667429</v>
      </c>
      <c r="H32" s="10">
        <f>$D$25/(A32+$E$25)^$F$25</f>
        <v>10.599996992016168</v>
      </c>
    </row>
    <row r="33" spans="1:8" x14ac:dyDescent="0.25">
      <c r="A33" s="1">
        <v>15</v>
      </c>
      <c r="B33" s="10">
        <f>$D$19/(A33+$E$19)^$F$19</f>
        <v>3.3762514118434552</v>
      </c>
      <c r="C33" s="10">
        <f>$D$20/(A33+$E$20)^$F$20</f>
        <v>4.1871509466746835</v>
      </c>
      <c r="D33" s="10">
        <f>$D$21/(A33+$E$21)^$F$21</f>
        <v>4.9096473700429666</v>
      </c>
      <c r="E33" s="10">
        <f>$D$22/(A33+$E$22)^$F$22</f>
        <v>5.9561827553194195</v>
      </c>
      <c r="F33" s="10">
        <f>$D$23/(A33+$E$23)^$F$23</f>
        <v>6.7973743660535018</v>
      </c>
      <c r="G33" s="10">
        <f>$D$24/(A33+$E$24)^$F$24</f>
        <v>7.6809547164984506</v>
      </c>
      <c r="H33" s="10">
        <f>$D$25/(A33+$E$25)^$F$25</f>
        <v>8.6434065523249117</v>
      </c>
    </row>
    <row r="34" spans="1:8" x14ac:dyDescent="0.25">
      <c r="A34" s="1">
        <v>30</v>
      </c>
      <c r="B34" s="10">
        <f>$D$19/(A34+$E$19)^$F$19</f>
        <v>2.3562696043697184</v>
      </c>
      <c r="C34" s="10">
        <f>$D$20/(A34+$E$20)^$F$20</f>
        <v>2.9093875683769888</v>
      </c>
      <c r="D34" s="10">
        <f>$D$21/(A34+$E$21)^$F$21</f>
        <v>3.3973890138000309</v>
      </c>
      <c r="E34" s="10">
        <f>$D$22/(A34+$E$22)^$F$22</f>
        <v>4.1027576857239803</v>
      </c>
      <c r="F34" s="10">
        <f>$D$23/(A34+$E$23)^$F$23</f>
        <v>4.6738214568446947</v>
      </c>
      <c r="G34" s="10">
        <f>$D$24/(A34+$E$24)^$F$24</f>
        <v>5.2740602404670112</v>
      </c>
      <c r="H34" s="10">
        <f>$D$25/(A34+$E$25)^$F$25</f>
        <v>5.9207583674533772</v>
      </c>
    </row>
    <row r="35" spans="1:8" x14ac:dyDescent="0.25">
      <c r="A35" s="1">
        <v>60</v>
      </c>
      <c r="B35" s="10">
        <f>$D$19/(A35+$E$19)^$F$19</f>
        <v>1.6200571715513306</v>
      </c>
      <c r="C35" s="10">
        <f>$D$20/(A35+$E$20)^$F$20</f>
        <v>1.9901175181410313</v>
      </c>
      <c r="D35" s="10">
        <f>$D$21/(A35+$E$21)^$F$21</f>
        <v>2.3100905486116092</v>
      </c>
      <c r="E35" s="10">
        <f>$D$22/(A35+$E$22)^$F$22</f>
        <v>2.7708299377544718</v>
      </c>
      <c r="F35" s="10">
        <f>$D$23/(A35+$E$23)^$F$23</f>
        <v>3.1510654854886808</v>
      </c>
      <c r="G35" s="10">
        <f>$D$24/(A35+$E$24)^$F$24</f>
        <v>3.5499982616553893</v>
      </c>
      <c r="H35" s="10">
        <f>$D$25/(A35+$E$25)^$F$25</f>
        <v>3.9604163171213891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2"/>
      <c r="E37" s="12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 s="12"/>
      <c r="E38" s="10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16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31.735398890421397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39.290444213740258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46.004708849658023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55.724247413116345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63.546398829544074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71.768069674285499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80.728346059741597</v>
      </c>
      <c r="D46" s="1"/>
      <c r="E46" s="1"/>
      <c r="F46" s="1"/>
      <c r="G46" s="1"/>
      <c r="H46" s="1"/>
    </row>
  </sheetData>
  <sheetProtection algorithmName="SHA-512" hashValue="kFx4fdu34zKU35clEX9yA9xNGDvZhTPKa2kdaiXXkeeIRqS2YnkUZt1sxqse2whT0DIqKuwmhFXdJkp2jQ3jEQ==" saltValue="hdHkVh+PkfZ/1FMNjwdFoA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H46"/>
  <sheetViews>
    <sheetView workbookViewId="0">
      <selection activeCell="C12" sqref="C12"/>
    </sheetView>
  </sheetViews>
  <sheetFormatPr defaultColWidth="9.28515625" defaultRowHeight="15" x14ac:dyDescent="0.25"/>
  <cols>
    <col min="1" max="1" width="10.7109375" style="2" customWidth="1"/>
    <col min="2" max="2" width="11.5703125" style="2" customWidth="1"/>
    <col min="3" max="5" width="10.7109375" style="2" customWidth="1"/>
    <col min="6" max="6" width="11.42578125" style="2" customWidth="1"/>
    <col min="7" max="8" width="10.7109375" style="2" customWidth="1"/>
    <col min="9" max="16384" width="9.28515625" style="2"/>
  </cols>
  <sheetData>
    <row r="1" spans="1:8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  <c r="D2" s="3"/>
    </row>
    <row r="3" spans="1:8" x14ac:dyDescent="0.25">
      <c r="A3" s="1" t="s">
        <v>0</v>
      </c>
      <c r="B3" s="117"/>
      <c r="C3" s="123"/>
      <c r="D3" s="1"/>
      <c r="E3" s="1"/>
      <c r="F3" s="11" t="s">
        <v>117</v>
      </c>
      <c r="G3" s="286">
        <v>18.68</v>
      </c>
      <c r="H3" s="33" t="s">
        <v>12</v>
      </c>
    </row>
    <row r="4" spans="1:8" x14ac:dyDescent="0.25">
      <c r="A4" s="1" t="s">
        <v>4</v>
      </c>
      <c r="B4" s="275" t="s">
        <v>71</v>
      </c>
      <c r="C4" s="160"/>
      <c r="D4" s="1"/>
      <c r="E4" s="1"/>
      <c r="F4" s="11" t="s">
        <v>116</v>
      </c>
      <c r="G4" s="287">
        <v>0.42</v>
      </c>
      <c r="H4" s="1"/>
    </row>
    <row r="5" spans="1:8" ht="15" customHeight="1" x14ac:dyDescent="0.25">
      <c r="A5" s="173" t="s">
        <v>118</v>
      </c>
      <c r="B5" s="276" t="s">
        <v>70</v>
      </c>
      <c r="C5" s="172"/>
      <c r="D5" s="173"/>
      <c r="E5" s="173"/>
      <c r="F5" s="174" t="s">
        <v>115</v>
      </c>
      <c r="G5" s="288">
        <v>17.5</v>
      </c>
      <c r="H5" s="175" t="s">
        <v>13</v>
      </c>
    </row>
    <row r="6" spans="1:8" x14ac:dyDescent="0.25">
      <c r="A6" s="1" t="s">
        <v>164</v>
      </c>
      <c r="B6" s="117" t="s">
        <v>64</v>
      </c>
      <c r="C6" s="12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42437</v>
      </c>
      <c r="C8" s="172"/>
    </row>
    <row r="9" spans="1:8" ht="15" customHeight="1" x14ac:dyDescent="0.25">
      <c r="A9" s="173" t="s">
        <v>122</v>
      </c>
      <c r="B9" s="117" t="s">
        <v>2</v>
      </c>
      <c r="C9" s="123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5" t="s">
        <v>72</v>
      </c>
      <c r="C10" s="160"/>
      <c r="E10" s="5"/>
      <c r="F10" s="119">
        <v>31.6525</v>
      </c>
      <c r="G10" s="119">
        <v>87.773300000000006</v>
      </c>
      <c r="H10" s="119">
        <v>391</v>
      </c>
    </row>
    <row r="11" spans="1:8" x14ac:dyDescent="0.25">
      <c r="A11" s="26" t="s">
        <v>9</v>
      </c>
      <c r="B11" s="26"/>
      <c r="C11" s="283" t="s">
        <v>73</v>
      </c>
      <c r="D11" s="1"/>
      <c r="E11" s="1"/>
      <c r="F11" s="44">
        <v>31.524999999999999</v>
      </c>
      <c r="G11" s="25">
        <v>87.927800000000005</v>
      </c>
      <c r="H11" s="25">
        <v>220</v>
      </c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6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17.5</v>
      </c>
      <c r="D19" s="29">
        <v>20.71</v>
      </c>
      <c r="E19" s="29">
        <v>1.64</v>
      </c>
      <c r="F19" s="110">
        <v>0.5529817239093574</v>
      </c>
      <c r="G19" s="22">
        <f>D19/(C19+E19)^F19</f>
        <v>4.0484580043080358</v>
      </c>
      <c r="H19" s="11"/>
    </row>
    <row r="20" spans="1:8" x14ac:dyDescent="0.25">
      <c r="A20" s="4"/>
      <c r="B20" s="6">
        <v>5</v>
      </c>
      <c r="C20" s="10">
        <f t="shared" ref="C20:C25" si="0">C19</f>
        <v>17.5</v>
      </c>
      <c r="D20" s="29">
        <v>24.6</v>
      </c>
      <c r="E20" s="29">
        <v>1.54</v>
      </c>
      <c r="F20" s="254">
        <v>0.5492247793947137</v>
      </c>
      <c r="G20" s="22">
        <f t="shared" ref="G20:G25" si="1">D20/(C20+E20)^F20</f>
        <v>4.8765233948411257</v>
      </c>
      <c r="H20" s="1"/>
    </row>
    <row r="21" spans="1:8" x14ac:dyDescent="0.25">
      <c r="A21" s="4"/>
      <c r="B21" s="6">
        <v>10</v>
      </c>
      <c r="C21" s="10">
        <f t="shared" si="0"/>
        <v>17.5</v>
      </c>
      <c r="D21" s="29">
        <v>27.21</v>
      </c>
      <c r="E21" s="29">
        <v>1.41</v>
      </c>
      <c r="F21" s="110">
        <v>0.53876128514100008</v>
      </c>
      <c r="G21" s="22">
        <f t="shared" si="1"/>
        <v>5.5833721115461019</v>
      </c>
      <c r="H21" s="1"/>
    </row>
    <row r="22" spans="1:8" x14ac:dyDescent="0.25">
      <c r="A22" s="1"/>
      <c r="B22" s="6">
        <v>25</v>
      </c>
      <c r="C22" s="10">
        <f t="shared" si="0"/>
        <v>17.5</v>
      </c>
      <c r="D22" s="29">
        <v>30.22</v>
      </c>
      <c r="E22" s="29">
        <v>1.1599999999999999</v>
      </c>
      <c r="F22" s="110">
        <v>0.52192974029764172</v>
      </c>
      <c r="G22" s="22">
        <f t="shared" si="1"/>
        <v>6.5609673736391851</v>
      </c>
      <c r="H22" s="1"/>
    </row>
    <row r="23" spans="1:8" x14ac:dyDescent="0.25">
      <c r="A23" s="1"/>
      <c r="B23" s="6">
        <v>50</v>
      </c>
      <c r="C23" s="10">
        <f t="shared" si="0"/>
        <v>17.5</v>
      </c>
      <c r="D23" s="29">
        <v>31.97</v>
      </c>
      <c r="E23" s="29">
        <v>0.94</v>
      </c>
      <c r="F23" s="110">
        <v>0.50503406513953042</v>
      </c>
      <c r="G23" s="22">
        <f>D23/(C23+E23)^F23</f>
        <v>7.3365225204885869</v>
      </c>
      <c r="H23" s="1"/>
    </row>
    <row r="24" spans="1:8" x14ac:dyDescent="0.25">
      <c r="A24" s="1"/>
      <c r="B24" s="6">
        <v>100</v>
      </c>
      <c r="C24" s="10">
        <f t="shared" si="0"/>
        <v>17.5</v>
      </c>
      <c r="D24" s="29">
        <v>32.200000000000003</v>
      </c>
      <c r="E24" s="29">
        <v>0.36</v>
      </c>
      <c r="F24" s="110">
        <v>0.47930477440453628</v>
      </c>
      <c r="G24" s="22">
        <f t="shared" si="1"/>
        <v>8.0876642465510464</v>
      </c>
      <c r="H24" s="1"/>
    </row>
    <row r="25" spans="1:8" x14ac:dyDescent="0.25">
      <c r="A25" s="1"/>
      <c r="B25" s="6">
        <v>200</v>
      </c>
      <c r="C25" s="10">
        <f t="shared" si="0"/>
        <v>17.5</v>
      </c>
      <c r="D25" s="10">
        <v>34.03</v>
      </c>
      <c r="E25" s="29">
        <v>0.26</v>
      </c>
      <c r="F25" s="110">
        <v>0.46596506301354673</v>
      </c>
      <c r="G25" s="22">
        <f t="shared" si="1"/>
        <v>8.905640933594567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7.2700295652515754</v>
      </c>
      <c r="C31" s="10">
        <f>$D$20/(A31+$E$20)^$F$20</f>
        <v>8.7700000976304562</v>
      </c>
      <c r="D31" s="10">
        <f>$D$21/(A31+$E$21)^$F$21</f>
        <v>10.000568129961488</v>
      </c>
      <c r="E31" s="10">
        <f>$D$22/(A31+$E$22)^$F$22</f>
        <v>11.700079264204959</v>
      </c>
      <c r="F31" s="10">
        <f>$D$23/(A31+$E$23)^$F$23</f>
        <v>13.000322392113324</v>
      </c>
      <c r="G31" s="10">
        <f>$D$24/(A31+$E$24)^$F$24</f>
        <v>14.40004027193217</v>
      </c>
      <c r="H31" s="10">
        <f>$D$25/(A31+$E$25)^$F$25</f>
        <v>15.700293870144497</v>
      </c>
    </row>
    <row r="32" spans="1:8" x14ac:dyDescent="0.25">
      <c r="A32" s="1">
        <v>10</v>
      </c>
      <c r="B32" s="10">
        <f>$D$19/(A32+$E$19)^$F$19</f>
        <v>5.330004580283914</v>
      </c>
      <c r="C32" s="10">
        <f>$D$20/(A32+$E$20)^$F$20</f>
        <v>6.4201526766730117</v>
      </c>
      <c r="D32" s="10">
        <f>$D$21/(A32+$E$21)^$F$21</f>
        <v>7.3299999087028214</v>
      </c>
      <c r="E32" s="10">
        <f>$D$22/(A32+$E$22)^$F$22</f>
        <v>8.5800014055885363</v>
      </c>
      <c r="F32" s="10">
        <f>$D$23/(A32+$E$23)^$F$23</f>
        <v>9.5500027005363322</v>
      </c>
      <c r="G32" s="10">
        <f>$D$24/(A32+$E$24)^$F$24</f>
        <v>10.499995022411712</v>
      </c>
      <c r="H32" s="10">
        <f>$D$25/(A32+$E$25)^$F$25</f>
        <v>11.500126178249108</v>
      </c>
    </row>
    <row r="33" spans="1:8" x14ac:dyDescent="0.25">
      <c r="A33" s="1">
        <v>15</v>
      </c>
      <c r="B33" s="10">
        <f>$D$19/(A33+$E$19)^$F$19</f>
        <v>4.3742603668826368</v>
      </c>
      <c r="C33" s="10">
        <f>$D$20/(A33+$E$20)^$F$20</f>
        <v>5.2684785118503221</v>
      </c>
      <c r="D33" s="10">
        <f>$D$21/(A33+$E$21)^$F$21</f>
        <v>6.0266376590769921</v>
      </c>
      <c r="E33" s="10">
        <f>$D$22/(A33+$E$22)^$F$22</f>
        <v>7.0725003345445296</v>
      </c>
      <c r="F33" s="10">
        <f>$D$23/(A33+$E$23)^$F$23</f>
        <v>7.8966897082578518</v>
      </c>
      <c r="G33" s="10">
        <f>$D$24/(A33+$E$24)^$F$24</f>
        <v>8.6938651121439658</v>
      </c>
      <c r="H33" s="10">
        <f>$D$25/(A33+$E$25)^$F$25</f>
        <v>9.5579969204796811</v>
      </c>
    </row>
    <row r="34" spans="1:8" x14ac:dyDescent="0.25">
      <c r="A34" s="1">
        <v>30</v>
      </c>
      <c r="B34" s="10">
        <f>$D$19/(A34+$E$19)^$F$19</f>
        <v>3.066032448467328</v>
      </c>
      <c r="C34" s="10">
        <f>$D$20/(A34+$E$20)^$F$20</f>
        <v>3.6959248039108803</v>
      </c>
      <c r="D34" s="10">
        <f>$D$21/(A34+$E$21)^$F$21</f>
        <v>4.2478218686282121</v>
      </c>
      <c r="E34" s="10">
        <f>$D$22/(A34+$E$22)^$F$22</f>
        <v>5.0204371124105078</v>
      </c>
      <c r="F34" s="10">
        <f>$D$23/(A34+$E$23)^$F$23</f>
        <v>5.6490979526653424</v>
      </c>
      <c r="G34" s="10">
        <f>$D$24/(A34+$E$24)^$F$24</f>
        <v>6.2716462993533888</v>
      </c>
      <c r="H34" s="10">
        <f>$D$25/(A34+$E$25)^$F$25</f>
        <v>6.9475033962997719</v>
      </c>
    </row>
    <row r="35" spans="1:8" x14ac:dyDescent="0.25">
      <c r="A35" s="1">
        <v>60</v>
      </c>
      <c r="B35" s="10">
        <f>$D$19/(A35+$E$19)^$F$19</f>
        <v>2.1204047877618706</v>
      </c>
      <c r="C35" s="10">
        <f>$D$20/(A35+$E$20)^$F$20</f>
        <v>2.5602682957648306</v>
      </c>
      <c r="D35" s="10">
        <f>$D$21/(A35+$E$21)^$F$21</f>
        <v>2.960019332494876</v>
      </c>
      <c r="E35" s="10">
        <f>$D$22/(A35+$E$22)^$F$22</f>
        <v>3.5308880966333342</v>
      </c>
      <c r="F35" s="10">
        <f>$D$23/(A35+$E$23)^$F$23</f>
        <v>4.0114935304386004</v>
      </c>
      <c r="G35" s="10">
        <f>$D$24/(A35+$E$24)^$F$24</f>
        <v>4.5116381796692862</v>
      </c>
      <c r="H35" s="10">
        <f>$D$25/(A35+$E$25)^$F$25</f>
        <v>5.0400003268509206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2"/>
      <c r="E37" s="12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 s="12"/>
      <c r="E38" s="10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16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31.762582118599124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38.259251946565534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43.804904238346097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51.474725626623588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57.55942108674526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63.452578612740886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69.870096508609535</v>
      </c>
      <c r="D46" s="1"/>
      <c r="E46" s="1"/>
      <c r="F46" s="1"/>
      <c r="G46" s="1"/>
      <c r="H46" s="1"/>
    </row>
  </sheetData>
  <sheetProtection algorithmName="SHA-512" hashValue="dI/l0kkHcwDh48OU2kJRSFLrx9HhhlHpfaEv1z4old5tIjlNkNO20jg1jpNdX2ZeCmrSWiWeWlxM3Hydln/QLw==" saltValue="2+q0SUnL+M8ZwXr274MJkg==" spinCount="100000" sheet="1" objects="1" scenarios="1" selectLockedCells="1"/>
  <mergeCells count="3">
    <mergeCell ref="C1:F1"/>
    <mergeCell ref="D27:F27"/>
    <mergeCell ref="D15:F1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H47"/>
  <sheetViews>
    <sheetView zoomScaleNormal="100" workbookViewId="0">
      <selection activeCell="F10" sqref="F10"/>
    </sheetView>
  </sheetViews>
  <sheetFormatPr defaultColWidth="9.28515625" defaultRowHeight="15" x14ac:dyDescent="0.25"/>
  <cols>
    <col min="1" max="1" width="10.7109375" style="2" customWidth="1"/>
    <col min="2" max="2" width="11.28515625" style="2" customWidth="1"/>
    <col min="3" max="8" width="10.7109375" style="2" customWidth="1"/>
    <col min="9" max="16384" width="9.28515625" style="2"/>
  </cols>
  <sheetData>
    <row r="1" spans="1:8" ht="19.5" x14ac:dyDescent="0.3">
      <c r="A1" s="168"/>
      <c r="B1" s="168"/>
      <c r="C1" s="575" t="s">
        <v>119</v>
      </c>
      <c r="D1" s="575"/>
      <c r="E1" s="575"/>
      <c r="F1" s="575"/>
      <c r="G1" s="289"/>
      <c r="H1" s="168"/>
    </row>
    <row r="2" spans="1:8" x14ac:dyDescent="0.25">
      <c r="A2" s="1"/>
      <c r="D2" s="3"/>
    </row>
    <row r="3" spans="1:8" x14ac:dyDescent="0.25">
      <c r="A3" s="1" t="s">
        <v>0</v>
      </c>
      <c r="B3" s="117" t="s">
        <v>482</v>
      </c>
      <c r="C3" s="123"/>
      <c r="D3" s="1"/>
      <c r="E3" s="1"/>
      <c r="F3" s="11" t="s">
        <v>117</v>
      </c>
      <c r="G3" s="286">
        <v>5.34</v>
      </c>
      <c r="H3" s="33" t="s">
        <v>12</v>
      </c>
    </row>
    <row r="4" spans="1:8" x14ac:dyDescent="0.25">
      <c r="A4" s="1" t="s">
        <v>4</v>
      </c>
      <c r="B4" s="275" t="s">
        <v>76</v>
      </c>
      <c r="C4" s="160"/>
      <c r="D4" s="1"/>
      <c r="E4" s="1"/>
      <c r="F4" s="11" t="s">
        <v>116</v>
      </c>
      <c r="G4" s="287">
        <v>0.42</v>
      </c>
      <c r="H4" s="1"/>
    </row>
    <row r="5" spans="1:8" ht="15" customHeight="1" x14ac:dyDescent="0.25">
      <c r="A5" s="173" t="s">
        <v>118</v>
      </c>
      <c r="B5" s="276" t="s">
        <v>74</v>
      </c>
      <c r="C5" s="172"/>
      <c r="D5" s="173"/>
      <c r="E5" s="173"/>
      <c r="F5" s="174" t="s">
        <v>115</v>
      </c>
      <c r="G5" s="288">
        <v>7.7</v>
      </c>
      <c r="H5" s="175" t="s">
        <v>13</v>
      </c>
    </row>
    <row r="6" spans="1:8" x14ac:dyDescent="0.25">
      <c r="A6" s="1" t="s">
        <v>164</v>
      </c>
      <c r="B6" s="117" t="s">
        <v>75</v>
      </c>
      <c r="C6" s="12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42437</v>
      </c>
      <c r="C8" s="172"/>
    </row>
    <row r="9" spans="1:8" ht="15" customHeight="1" x14ac:dyDescent="0.25">
      <c r="A9" s="173" t="s">
        <v>122</v>
      </c>
      <c r="B9" s="117" t="s">
        <v>2</v>
      </c>
      <c r="C9" s="123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5" t="s">
        <v>77</v>
      </c>
      <c r="C10" s="160"/>
      <c r="E10" s="5"/>
      <c r="F10" s="119">
        <v>32.679600000000001</v>
      </c>
      <c r="G10" s="119">
        <v>87.804699999999997</v>
      </c>
      <c r="H10" s="119">
        <v>221</v>
      </c>
    </row>
    <row r="11" spans="1:8" x14ac:dyDescent="0.25">
      <c r="A11" s="26" t="s">
        <v>9</v>
      </c>
      <c r="B11" s="26"/>
      <c r="C11" s="283" t="s">
        <v>78</v>
      </c>
      <c r="D11" s="1"/>
      <c r="E11" s="1"/>
      <c r="F11" s="34">
        <v>32.581099999999999</v>
      </c>
      <c r="G11" s="25">
        <v>88.189700000000002</v>
      </c>
      <c r="H11" s="25">
        <v>128</v>
      </c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6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7.7</v>
      </c>
      <c r="D19" s="29">
        <v>17.399999999999999</v>
      </c>
      <c r="E19" s="29">
        <v>1.57</v>
      </c>
      <c r="F19" s="105">
        <v>0.55326249074846956</v>
      </c>
      <c r="G19" s="22">
        <f>D19/(C19+E19)^F19</f>
        <v>5.0757509644828458</v>
      </c>
      <c r="H19" s="11"/>
    </row>
    <row r="20" spans="1:8" x14ac:dyDescent="0.25">
      <c r="A20" s="4"/>
      <c r="B20" s="6">
        <v>5</v>
      </c>
      <c r="C20" s="10">
        <f t="shared" ref="C20:C25" si="0">C19</f>
        <v>7.7</v>
      </c>
      <c r="D20" s="29">
        <v>20.83</v>
      </c>
      <c r="E20" s="29">
        <v>1.56</v>
      </c>
      <c r="F20" s="109">
        <v>0.55232522851697641</v>
      </c>
      <c r="G20" s="22">
        <f t="shared" ref="G20:G25" si="1">D20/(C20+E20)^F20</f>
        <v>6.0926416612243397</v>
      </c>
      <c r="H20" s="1"/>
    </row>
    <row r="21" spans="1:8" x14ac:dyDescent="0.25">
      <c r="A21" s="4"/>
      <c r="B21" s="6">
        <v>10</v>
      </c>
      <c r="C21" s="10">
        <f t="shared" si="0"/>
        <v>7.7</v>
      </c>
      <c r="D21" s="29">
        <v>23.27</v>
      </c>
      <c r="E21" s="29">
        <v>1.5</v>
      </c>
      <c r="F21" s="105">
        <v>0.54749859372337017</v>
      </c>
      <c r="G21" s="22">
        <f t="shared" si="1"/>
        <v>6.9043675568370286</v>
      </c>
      <c r="H21" s="1"/>
    </row>
    <row r="22" spans="1:8" x14ac:dyDescent="0.25">
      <c r="A22" s="1"/>
      <c r="B22" s="6">
        <v>25</v>
      </c>
      <c r="C22" s="10">
        <f t="shared" si="0"/>
        <v>7.7</v>
      </c>
      <c r="D22" s="29">
        <v>26.88</v>
      </c>
      <c r="E22" s="29">
        <v>1.5</v>
      </c>
      <c r="F22" s="105">
        <v>0.54563469824204303</v>
      </c>
      <c r="G22" s="22">
        <f t="shared" si="1"/>
        <v>8.0085369566595368</v>
      </c>
      <c r="H22" s="1"/>
    </row>
    <row r="23" spans="1:8" x14ac:dyDescent="0.25">
      <c r="A23" s="1"/>
      <c r="B23" s="6">
        <v>50</v>
      </c>
      <c r="C23" s="10">
        <f t="shared" si="0"/>
        <v>7.7</v>
      </c>
      <c r="D23" s="29">
        <v>29.15</v>
      </c>
      <c r="E23" s="29">
        <v>1.37</v>
      </c>
      <c r="F23" s="105">
        <v>0.54123779386194848</v>
      </c>
      <c r="G23" s="22">
        <f>D23/(C23+E23)^F23</f>
        <v>8.8378230855594673</v>
      </c>
      <c r="H23" s="1"/>
    </row>
    <row r="24" spans="1:8" x14ac:dyDescent="0.25">
      <c r="A24" s="1"/>
      <c r="B24" s="6">
        <v>100</v>
      </c>
      <c r="C24" s="10">
        <f t="shared" si="0"/>
        <v>7.7</v>
      </c>
      <c r="D24" s="29">
        <v>31.36</v>
      </c>
      <c r="E24" s="29">
        <v>1.27</v>
      </c>
      <c r="F24" s="105">
        <v>0.53703331197050996</v>
      </c>
      <c r="G24" s="22">
        <f t="shared" si="1"/>
        <v>9.653721655434147</v>
      </c>
      <c r="H24" s="1"/>
    </row>
    <row r="25" spans="1:8" x14ac:dyDescent="0.25">
      <c r="A25" s="1"/>
      <c r="B25" s="6">
        <v>200</v>
      </c>
      <c r="C25" s="10">
        <f t="shared" si="0"/>
        <v>7.7</v>
      </c>
      <c r="D25" s="10">
        <v>34.450000000000003</v>
      </c>
      <c r="E25" s="29">
        <v>1.46</v>
      </c>
      <c r="F25" s="105">
        <v>0.53912745590807876</v>
      </c>
      <c r="G25" s="22">
        <f t="shared" si="1"/>
        <v>10.437703760149699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6.1407440425451343</v>
      </c>
      <c r="C31" s="10">
        <f>$D$20/(A31+$E$20)^$F$20</f>
        <v>7.3704273578282873</v>
      </c>
      <c r="D31" s="10">
        <f>$D$21/(A31+$E$21)^$F$21</f>
        <v>8.3507881007495346</v>
      </c>
      <c r="E31" s="10">
        <f>$D$22/(A31+$E$22)^$F$22</f>
        <v>9.6800038565511404</v>
      </c>
      <c r="F31" s="10">
        <f>$D$23/(A31+$E$23)^$F$23</f>
        <v>10.700594500971413</v>
      </c>
      <c r="G31" s="10">
        <f>$D$24/(A31+$E$24)^$F$24</f>
        <v>11.70083421524383</v>
      </c>
      <c r="H31" s="10">
        <f>$D$25/(A31+$E$25)^$F$25</f>
        <v>12.600002466225412</v>
      </c>
    </row>
    <row r="32" spans="1:8" x14ac:dyDescent="0.25">
      <c r="A32" s="1">
        <v>10</v>
      </c>
      <c r="B32" s="10">
        <f>$D$19/(A32+$E$19)^$F$19</f>
        <v>4.4900045966472897</v>
      </c>
      <c r="C32" s="10">
        <f>$D$20/(A32+$E$20)^$F$20</f>
        <v>5.3900257669764349</v>
      </c>
      <c r="D32" s="10">
        <f>$D$21/(A32+$E$21)^$F$21</f>
        <v>6.110346061146485</v>
      </c>
      <c r="E32" s="10">
        <f>$D$22/(A32+$E$22)^$F$22</f>
        <v>7.090481338464298</v>
      </c>
      <c r="F32" s="10">
        <f>$D$23/(A32+$E$23)^$F$23</f>
        <v>7.8202582364576427</v>
      </c>
      <c r="G32" s="10">
        <f>$D$24/(A32+$E$24)^$F$24</f>
        <v>8.5399999753838518</v>
      </c>
      <c r="H32" s="10">
        <f>$D$25/(A32+$E$25)^$F$25</f>
        <v>9.2502552766078292</v>
      </c>
    </row>
    <row r="33" spans="1:8" x14ac:dyDescent="0.25">
      <c r="A33" s="1">
        <v>15</v>
      </c>
      <c r="B33" s="10">
        <f>$D$19/(A33+$E$19)^$F$19</f>
        <v>3.6808137300341435</v>
      </c>
      <c r="C33" s="10">
        <f>$D$20/(A33+$E$20)^$F$20</f>
        <v>4.4194832602313392</v>
      </c>
      <c r="D33" s="10">
        <f>$D$21/(A33+$E$21)^$F$21</f>
        <v>5.0144769108979004</v>
      </c>
      <c r="E33" s="10">
        <f>$D$22/(A33+$E$22)^$F$22</f>
        <v>5.8227451171483171</v>
      </c>
      <c r="F33" s="10">
        <f>$D$23/(A33+$E$23)^$F$23</f>
        <v>6.4202143828640974</v>
      </c>
      <c r="G33" s="10">
        <f>$D$24/(A33+$E$24)^$F$24</f>
        <v>7.0116557324292081</v>
      </c>
      <c r="H33" s="10">
        <f>$D$25/(A33+$E$25)^$F$25</f>
        <v>7.609892226900846</v>
      </c>
    </row>
    <row r="34" spans="1:8" x14ac:dyDescent="0.25">
      <c r="A34" s="1">
        <v>30</v>
      </c>
      <c r="B34" s="10">
        <f>$D$19/(A34+$E$19)^$F$19</f>
        <v>2.5766584767173284</v>
      </c>
      <c r="C34" s="10">
        <f>$D$20/(A34+$E$20)^$F$20</f>
        <v>3.0951242423856193</v>
      </c>
      <c r="D34" s="10">
        <f>$D$21/(A34+$E$21)^$F$21</f>
        <v>3.5194391608376776</v>
      </c>
      <c r="E34" s="10">
        <f>$D$22/(A34+$E$22)^$F$22</f>
        <v>4.0916552801218451</v>
      </c>
      <c r="F34" s="10">
        <f>$D$23/(A34+$E$23)^$F$23</f>
        <v>4.5151100745851203</v>
      </c>
      <c r="G34" s="10">
        <f>$D$24/(A34+$E$24)^$F$24</f>
        <v>4.9367663835546098</v>
      </c>
      <c r="H34" s="10">
        <f>$D$25/(A34+$E$25)^$F$25</f>
        <v>5.3666883854540419</v>
      </c>
    </row>
    <row r="35" spans="1:8" x14ac:dyDescent="0.25">
      <c r="A35" s="1">
        <v>60</v>
      </c>
      <c r="B35" s="10">
        <f>$D$19/(A35+$E$19)^$F$19</f>
        <v>1.7805673827115454</v>
      </c>
      <c r="C35" s="10">
        <f>$D$20/(A35+$E$20)^$F$20</f>
        <v>2.1400036084584912</v>
      </c>
      <c r="D35" s="10">
        <f>$D$21/(A35+$E$21)^$F$21</f>
        <v>2.4399997006241629</v>
      </c>
      <c r="E35" s="10">
        <f>$D$22/(A35+$E$22)^$F$22</f>
        <v>2.8402523666691528</v>
      </c>
      <c r="F35" s="10">
        <f>$D$23/(A35+$E$23)^$F$23</f>
        <v>3.13999626444404</v>
      </c>
      <c r="G35" s="10">
        <f>$D$24/(A35+$E$24)^$F$24</f>
        <v>3.4400472322426094</v>
      </c>
      <c r="H35" s="10">
        <f>$D$25/(A35+$E$25)^$F$25</f>
        <v>3.7403295805992505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2"/>
      <c r="E37" s="12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 s="12"/>
      <c r="E38" s="10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16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11.383894263142126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13.664576717793949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15.485115556474085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17.961546686396009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19.82146961629277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21.651366928807704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23.409681993263746</v>
      </c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algorithmName="SHA-512" hashValue="wfXmeqt/OBmLjrug9pn2w8QWHMAU5JWaTz90XNeoM3InKDe+HPrdtGoAUVzkKLdgo00B5+ISQq34v6XNwq8N6Q==" saltValue="+1IWYDkwAx//OoKZUwkZOQ==" spinCount="100000" sheet="1" objects="1" scenarios="1" selectLockedCells="1"/>
  <mergeCells count="3">
    <mergeCell ref="C1:F1"/>
    <mergeCell ref="D27:F27"/>
    <mergeCell ref="D15:F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Z47"/>
  <sheetViews>
    <sheetView topLeftCell="C7" zoomScaleNormal="100" workbookViewId="0">
      <selection activeCell="A3" sqref="A3"/>
    </sheetView>
  </sheetViews>
  <sheetFormatPr defaultRowHeight="15" x14ac:dyDescent="0.25"/>
  <cols>
    <col min="1" max="1" width="9.85546875" style="13" customWidth="1"/>
    <col min="2" max="16384" width="9.140625" style="13"/>
  </cols>
  <sheetData>
    <row r="1" spans="1:26" ht="26.25" x14ac:dyDescent="0.4">
      <c r="A1"/>
      <c r="B1"/>
      <c r="C1"/>
      <c r="D1"/>
      <c r="E1"/>
      <c r="F1"/>
      <c r="G1"/>
      <c r="H1"/>
      <c r="I1" s="550" t="s">
        <v>379</v>
      </c>
      <c r="J1" s="550"/>
      <c r="K1" s="550"/>
      <c r="L1" s="550"/>
      <c r="M1" s="550"/>
      <c r="N1" s="550"/>
      <c r="O1" s="550"/>
      <c r="P1" s="550"/>
      <c r="Q1" s="550"/>
      <c r="R1" s="340"/>
      <c r="S1"/>
      <c r="T1"/>
      <c r="U1"/>
      <c r="V1"/>
      <c r="W1"/>
      <c r="X1"/>
      <c r="Y1"/>
      <c r="Z1"/>
    </row>
    <row r="2" spans="1:26" x14ac:dyDescent="0.25">
      <c r="A2"/>
      <c r="B2"/>
      <c r="C2"/>
      <c r="D2"/>
      <c r="E2"/>
      <c r="F2"/>
      <c r="G2"/>
      <c r="H2"/>
      <c r="I2"/>
      <c r="J2"/>
      <c r="K2"/>
      <c r="L2" s="14" t="s">
        <v>128</v>
      </c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.75" x14ac:dyDescent="0.25">
      <c r="A3" s="272" t="s">
        <v>173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5">
      <c r="A4" t="s">
        <v>270</v>
      </c>
      <c r="B4"/>
      <c r="Y4"/>
    </row>
    <row r="5" spans="1:26" x14ac:dyDescent="0.25">
      <c r="A5" t="s">
        <v>271</v>
      </c>
      <c r="B5"/>
      <c r="Y5"/>
    </row>
    <row r="6" spans="1:26" x14ac:dyDescent="0.25">
      <c r="A6" t="s">
        <v>272</v>
      </c>
      <c r="B6"/>
      <c r="Y6"/>
    </row>
    <row r="7" spans="1:26" x14ac:dyDescent="0.25">
      <c r="A7" t="s">
        <v>273</v>
      </c>
      <c r="B7"/>
      <c r="Y7"/>
    </row>
    <row r="8" spans="1:26" x14ac:dyDescent="0.25">
      <c r="A8" t="s">
        <v>45</v>
      </c>
      <c r="B8"/>
      <c r="Y8"/>
    </row>
    <row r="9" spans="1:26" x14ac:dyDescent="0.25">
      <c r="A9" t="s">
        <v>47</v>
      </c>
      <c r="B9"/>
      <c r="Y9"/>
    </row>
    <row r="10" spans="1:26" x14ac:dyDescent="0.25">
      <c r="A10" t="s">
        <v>53</v>
      </c>
      <c r="B10"/>
      <c r="Y10"/>
    </row>
    <row r="11" spans="1:26" x14ac:dyDescent="0.25">
      <c r="A11" t="s">
        <v>49</v>
      </c>
      <c r="B11"/>
      <c r="Y11"/>
    </row>
    <row r="12" spans="1:26" x14ac:dyDescent="0.25">
      <c r="A12" t="s">
        <v>58</v>
      </c>
      <c r="B12"/>
      <c r="Y12"/>
    </row>
    <row r="13" spans="1:26" x14ac:dyDescent="0.25">
      <c r="A13" t="s">
        <v>62</v>
      </c>
      <c r="B13"/>
      <c r="Y13"/>
    </row>
    <row r="14" spans="1:26" x14ac:dyDescent="0.25">
      <c r="A14" t="s">
        <v>65</v>
      </c>
      <c r="B14"/>
      <c r="Y14"/>
    </row>
    <row r="15" spans="1:26" x14ac:dyDescent="0.25">
      <c r="A15" t="s">
        <v>274</v>
      </c>
      <c r="B15"/>
      <c r="Y15"/>
    </row>
    <row r="16" spans="1:26" x14ac:dyDescent="0.25">
      <c r="A16" t="s">
        <v>460</v>
      </c>
      <c r="B16"/>
      <c r="Y16"/>
    </row>
    <row r="17" spans="1:25" x14ac:dyDescent="0.25">
      <c r="A17" t="s">
        <v>78</v>
      </c>
      <c r="B17"/>
      <c r="Y17"/>
    </row>
    <row r="18" spans="1:25" x14ac:dyDescent="0.25">
      <c r="A18" t="s">
        <v>82</v>
      </c>
      <c r="B18"/>
      <c r="Y18"/>
    </row>
    <row r="19" spans="1:25" x14ac:dyDescent="0.25">
      <c r="A19" t="s">
        <v>221</v>
      </c>
      <c r="B19"/>
      <c r="Y19"/>
    </row>
    <row r="20" spans="1:25" x14ac:dyDescent="0.25">
      <c r="A20" t="s">
        <v>373</v>
      </c>
      <c r="B20"/>
      <c r="Y20"/>
    </row>
    <row r="21" spans="1:25" x14ac:dyDescent="0.25">
      <c r="A21" t="s">
        <v>89</v>
      </c>
      <c r="B21"/>
      <c r="Y21"/>
    </row>
    <row r="22" spans="1:25" x14ac:dyDescent="0.25">
      <c r="A22" t="s">
        <v>94</v>
      </c>
      <c r="B22"/>
      <c r="Y22"/>
    </row>
    <row r="23" spans="1:25" x14ac:dyDescent="0.25">
      <c r="A23" t="s">
        <v>99</v>
      </c>
      <c r="B23"/>
      <c r="Y23"/>
    </row>
    <row r="24" spans="1:25" x14ac:dyDescent="0.25">
      <c r="A24" t="s">
        <v>124</v>
      </c>
      <c r="B24"/>
      <c r="Y24"/>
    </row>
    <row r="25" spans="1:25" x14ac:dyDescent="0.25">
      <c r="A25" t="s">
        <v>104</v>
      </c>
      <c r="B25"/>
      <c r="Y25"/>
    </row>
    <row r="26" spans="1:25" x14ac:dyDescent="0.25">
      <c r="A26" t="s">
        <v>275</v>
      </c>
      <c r="B26"/>
      <c r="Y26"/>
    </row>
    <row r="27" spans="1:25" x14ac:dyDescent="0.25">
      <c r="A27"/>
      <c r="B27"/>
      <c r="Y27"/>
    </row>
    <row r="28" spans="1:25" x14ac:dyDescent="0.25">
      <c r="A28"/>
      <c r="B28"/>
      <c r="Y28"/>
    </row>
    <row r="29" spans="1:25" x14ac:dyDescent="0.25">
      <c r="A29"/>
      <c r="B29"/>
      <c r="Y29"/>
    </row>
    <row r="30" spans="1:25" x14ac:dyDescent="0.25">
      <c r="A30"/>
      <c r="B30"/>
      <c r="Y30"/>
    </row>
    <row r="31" spans="1:25" x14ac:dyDescent="0.25">
      <c r="A31"/>
      <c r="B31"/>
      <c r="Y31"/>
    </row>
    <row r="32" spans="1:25" x14ac:dyDescent="0.25">
      <c r="A32"/>
      <c r="B32"/>
      <c r="Y32"/>
    </row>
    <row r="33" spans="1:26" x14ac:dyDescent="0.25">
      <c r="A33"/>
      <c r="B33"/>
      <c r="Y33"/>
    </row>
    <row r="34" spans="1:26" x14ac:dyDescent="0.25">
      <c r="A34"/>
      <c r="B34"/>
      <c r="Y34"/>
    </row>
    <row r="35" spans="1:26" x14ac:dyDescent="0.25">
      <c r="A35"/>
      <c r="B35"/>
      <c r="Y35"/>
    </row>
    <row r="36" spans="1:26" x14ac:dyDescent="0.25">
      <c r="A36"/>
      <c r="B36"/>
      <c r="Y36"/>
    </row>
    <row r="37" spans="1:26" x14ac:dyDescent="0.25">
      <c r="A37"/>
      <c r="B37"/>
      <c r="Y37"/>
      <c r="Z37"/>
    </row>
    <row r="38" spans="1:26" x14ac:dyDescent="0.25">
      <c r="A38"/>
      <c r="B38"/>
      <c r="Y38"/>
      <c r="Z38"/>
    </row>
    <row r="39" spans="1:26" x14ac:dyDescent="0.25">
      <c r="A39"/>
      <c r="B39"/>
      <c r="Y39"/>
      <c r="Z39"/>
    </row>
    <row r="40" spans="1:26" x14ac:dyDescent="0.25">
      <c r="A40"/>
      <c r="B40"/>
      <c r="Y40"/>
      <c r="Z40"/>
    </row>
    <row r="41" spans="1:26" x14ac:dyDescent="0.25">
      <c r="A41"/>
      <c r="B41"/>
      <c r="Y41"/>
      <c r="Z41"/>
    </row>
    <row r="42" spans="1:26" x14ac:dyDescent="0.25">
      <c r="A42"/>
      <c r="B42"/>
      <c r="Y42"/>
      <c r="Z42"/>
    </row>
    <row r="43" spans="1:26" x14ac:dyDescent="0.25">
      <c r="A43"/>
      <c r="B43"/>
      <c r="Y43"/>
      <c r="Z43"/>
    </row>
    <row r="44" spans="1:26" x14ac:dyDescent="0.25">
      <c r="A44"/>
      <c r="B44"/>
      <c r="Y44"/>
      <c r="Z44"/>
    </row>
    <row r="45" spans="1:26" x14ac:dyDescent="0.25">
      <c r="A45"/>
      <c r="B45"/>
      <c r="Y45"/>
      <c r="Z45"/>
    </row>
    <row r="46" spans="1:26" x14ac:dyDescent="0.25">
      <c r="A46"/>
      <c r="B46"/>
      <c r="Y46"/>
      <c r="Z46"/>
    </row>
    <row r="47" spans="1:26" x14ac:dyDescent="0.25">
      <c r="A47"/>
      <c r="B47"/>
      <c r="Y47"/>
      <c r="Z47"/>
    </row>
  </sheetData>
  <sheetProtection algorithmName="SHA-512" hashValue="Lvn81Q7+ho95y8OTL++yl9IWFRUN7vdYpfXoxrBWvIvEzgqr0ky99mBpMDK+bQeU5B6q10WC+hnlDcOjGi21ig==" saltValue="EIWnrw3bp6g4upwF3zepaw==" spinCount="100000" sheet="1" objects="1" scenarios="1" selectLockedCells="1" selectUnlockedCells="1"/>
  <mergeCells count="1">
    <mergeCell ref="I1:Q1"/>
  </mergeCells>
  <pageMargins left="0.7" right="0.7" top="0.75" bottom="0.75" header="0.3" footer="0.3"/>
  <pageSetup paperSize="17" scale="9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I46"/>
  <sheetViews>
    <sheetView workbookViewId="0">
      <selection activeCell="H10" sqref="H10"/>
    </sheetView>
  </sheetViews>
  <sheetFormatPr defaultColWidth="9.28515625" defaultRowHeight="15" x14ac:dyDescent="0.25"/>
  <cols>
    <col min="1" max="1" width="10.7109375" style="2" customWidth="1"/>
    <col min="2" max="2" width="11.28515625" style="2" customWidth="1"/>
    <col min="3" max="8" width="10.7109375" style="2" customWidth="1"/>
    <col min="9" max="16384" width="9.28515625" style="2"/>
  </cols>
  <sheetData>
    <row r="1" spans="1:9" ht="19.5" x14ac:dyDescent="0.3">
      <c r="A1" s="1"/>
      <c r="B1" s="1"/>
      <c r="C1" s="575" t="s">
        <v>119</v>
      </c>
      <c r="D1" s="575"/>
      <c r="E1" s="575"/>
      <c r="F1" s="575"/>
      <c r="G1" s="168"/>
      <c r="H1" s="168"/>
      <c r="I1" s="1"/>
    </row>
    <row r="2" spans="1:9" x14ac:dyDescent="0.25">
      <c r="A2" s="1"/>
      <c r="B2" s="1"/>
      <c r="C2" s="1"/>
      <c r="D2" s="26"/>
      <c r="E2" s="1"/>
      <c r="F2" s="1"/>
      <c r="G2" s="1"/>
      <c r="H2" s="1"/>
      <c r="I2" s="1"/>
    </row>
    <row r="3" spans="1:9" x14ac:dyDescent="0.25">
      <c r="A3" s="1" t="s">
        <v>0</v>
      </c>
      <c r="B3" s="117"/>
      <c r="C3" s="123"/>
      <c r="D3" s="1"/>
      <c r="E3" s="1"/>
      <c r="F3" s="11" t="s">
        <v>117</v>
      </c>
      <c r="G3" s="123">
        <v>26.08</v>
      </c>
      <c r="H3" s="33" t="s">
        <v>12</v>
      </c>
    </row>
    <row r="4" spans="1:9" x14ac:dyDescent="0.25">
      <c r="A4" s="1" t="s">
        <v>4</v>
      </c>
      <c r="B4" s="275" t="s">
        <v>80</v>
      </c>
      <c r="C4" s="160"/>
      <c r="D4" s="1"/>
      <c r="E4" s="1"/>
      <c r="F4" s="11" t="s">
        <v>116</v>
      </c>
      <c r="G4" s="160">
        <v>0.25</v>
      </c>
      <c r="H4" s="1"/>
    </row>
    <row r="5" spans="1:9" ht="15" customHeight="1" x14ac:dyDescent="0.25">
      <c r="A5" s="173" t="s">
        <v>118</v>
      </c>
      <c r="B5" s="276" t="s">
        <v>79</v>
      </c>
      <c r="C5" s="172"/>
      <c r="D5" s="173"/>
      <c r="E5" s="173"/>
      <c r="F5" s="174" t="s">
        <v>115</v>
      </c>
      <c r="G5" s="172">
        <v>12.3</v>
      </c>
      <c r="H5" s="175" t="s">
        <v>13</v>
      </c>
    </row>
    <row r="6" spans="1:9" x14ac:dyDescent="0.25">
      <c r="A6" s="1" t="s">
        <v>164</v>
      </c>
      <c r="B6" s="117" t="s">
        <v>485</v>
      </c>
      <c r="C6" s="123"/>
    </row>
    <row r="7" spans="1:9" x14ac:dyDescent="0.25">
      <c r="A7" s="1" t="s">
        <v>10</v>
      </c>
      <c r="B7" s="275" t="s">
        <v>54</v>
      </c>
      <c r="C7" s="160"/>
    </row>
    <row r="8" spans="1:9" x14ac:dyDescent="0.25">
      <c r="A8" s="1" t="s">
        <v>121</v>
      </c>
      <c r="B8" s="291">
        <v>43060</v>
      </c>
      <c r="C8" s="172"/>
      <c r="E8" s="1"/>
      <c r="F8" s="1"/>
      <c r="G8" s="1"/>
      <c r="H8" s="1"/>
      <c r="I8" s="1"/>
    </row>
    <row r="9" spans="1:9" ht="15" customHeight="1" x14ac:dyDescent="0.25">
      <c r="A9" s="173" t="s">
        <v>122</v>
      </c>
      <c r="B9" s="117" t="s">
        <v>2</v>
      </c>
      <c r="C9" s="123"/>
      <c r="D9" s="184"/>
      <c r="E9" s="173"/>
      <c r="F9" s="178" t="s">
        <v>380</v>
      </c>
      <c r="G9" s="178" t="s">
        <v>381</v>
      </c>
      <c r="H9" s="178" t="s">
        <v>468</v>
      </c>
      <c r="I9" s="1"/>
    </row>
    <row r="10" spans="1:9" x14ac:dyDescent="0.25">
      <c r="A10" s="1" t="s">
        <v>173</v>
      </c>
      <c r="B10" s="117" t="s">
        <v>81</v>
      </c>
      <c r="C10" s="123"/>
      <c r="E10" s="5"/>
      <c r="F10" s="119">
        <v>31.054300000000001</v>
      </c>
      <c r="G10" s="120">
        <v>87.587999999999994</v>
      </c>
      <c r="H10" s="119">
        <v>268</v>
      </c>
    </row>
    <row r="11" spans="1:9" x14ac:dyDescent="0.25">
      <c r="A11" s="26" t="s">
        <v>9</v>
      </c>
      <c r="B11" s="26"/>
      <c r="C11" s="283" t="s">
        <v>82</v>
      </c>
      <c r="D11" s="1"/>
      <c r="E11" s="1"/>
      <c r="F11" s="34">
        <v>30.683299999999999</v>
      </c>
      <c r="G11" s="25">
        <v>88.033299999999997</v>
      </c>
      <c r="H11" s="25">
        <v>10</v>
      </c>
      <c r="I11" s="1"/>
    </row>
    <row r="14" spans="1:9" x14ac:dyDescent="0.25">
      <c r="A14" s="1"/>
      <c r="B14" s="1"/>
      <c r="C14" s="1"/>
      <c r="D14" s="1"/>
      <c r="E14" s="1"/>
      <c r="F14" s="1"/>
      <c r="G14" s="1"/>
      <c r="H14" s="1"/>
    </row>
    <row r="15" spans="1:9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9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6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12.3</v>
      </c>
      <c r="D19" s="29">
        <v>23.56</v>
      </c>
      <c r="E19" s="29">
        <v>1.72</v>
      </c>
      <c r="F19" s="105">
        <v>0.55911963751437421</v>
      </c>
      <c r="G19" s="22">
        <f>D19/(C19+E19)^F19</f>
        <v>5.3827716005952091</v>
      </c>
      <c r="H19" s="11"/>
    </row>
    <row r="20" spans="1:8" x14ac:dyDescent="0.25">
      <c r="A20" s="4"/>
      <c r="B20" s="6">
        <v>5</v>
      </c>
      <c r="C20" s="10">
        <f t="shared" ref="C20:C25" si="0">C19</f>
        <v>12.3</v>
      </c>
      <c r="D20" s="29">
        <v>27.54</v>
      </c>
      <c r="E20" s="29">
        <v>1.6</v>
      </c>
      <c r="F20" s="109">
        <v>0.55132769733658604</v>
      </c>
      <c r="G20" s="22">
        <f t="shared" ref="G20:G25" si="1">D20/(C20+E20)^F20</f>
        <v>6.453394551504064</v>
      </c>
      <c r="H20" s="1"/>
    </row>
    <row r="21" spans="1:8" x14ac:dyDescent="0.25">
      <c r="A21" s="4"/>
      <c r="B21" s="6">
        <v>10</v>
      </c>
      <c r="C21" s="10">
        <f t="shared" si="0"/>
        <v>12.3</v>
      </c>
      <c r="D21" s="29">
        <v>30.14</v>
      </c>
      <c r="E21" s="29">
        <v>1.37</v>
      </c>
      <c r="F21" s="105">
        <v>0.53948408285339799</v>
      </c>
      <c r="G21" s="22">
        <f t="shared" si="1"/>
        <v>7.3521475204839106</v>
      </c>
      <c r="H21" s="1"/>
    </row>
    <row r="22" spans="1:8" x14ac:dyDescent="0.25">
      <c r="A22" s="1"/>
      <c r="B22" s="6">
        <v>25</v>
      </c>
      <c r="C22" s="10">
        <f t="shared" si="0"/>
        <v>12.3</v>
      </c>
      <c r="D22" s="29">
        <v>34.270000000000003</v>
      </c>
      <c r="E22" s="29">
        <v>1.24</v>
      </c>
      <c r="F22" s="105">
        <v>0.52940003416061032</v>
      </c>
      <c r="G22" s="22">
        <f t="shared" si="1"/>
        <v>8.6265102934056248</v>
      </c>
      <c r="H22" s="1"/>
    </row>
    <row r="23" spans="1:8" x14ac:dyDescent="0.25">
      <c r="A23" s="1"/>
      <c r="B23" s="6">
        <v>50</v>
      </c>
      <c r="C23" s="10">
        <f t="shared" si="0"/>
        <v>12.3</v>
      </c>
      <c r="D23" s="29">
        <v>36.68</v>
      </c>
      <c r="E23" s="29">
        <v>1.01</v>
      </c>
      <c r="F23" s="105">
        <v>0.51749217968907557</v>
      </c>
      <c r="G23" s="22">
        <f>D23/(C23+E23)^F23</f>
        <v>9.6089509108152189</v>
      </c>
      <c r="H23" s="1"/>
    </row>
    <row r="24" spans="1:8" x14ac:dyDescent="0.25">
      <c r="A24" s="1"/>
      <c r="B24" s="6">
        <v>100</v>
      </c>
      <c r="C24" s="10">
        <f t="shared" si="0"/>
        <v>12.3</v>
      </c>
      <c r="D24" s="29">
        <v>39.47</v>
      </c>
      <c r="E24" s="29">
        <v>0.89</v>
      </c>
      <c r="F24" s="105">
        <v>0.50920587554897223</v>
      </c>
      <c r="G24" s="22">
        <f t="shared" si="1"/>
        <v>10.612846784398986</v>
      </c>
      <c r="H24" s="1"/>
    </row>
    <row r="25" spans="1:8" x14ac:dyDescent="0.25">
      <c r="A25" s="1"/>
      <c r="B25" s="6">
        <v>200</v>
      </c>
      <c r="C25" s="10">
        <f t="shared" si="0"/>
        <v>12.3</v>
      </c>
      <c r="D25" s="10">
        <v>43.466999999999999</v>
      </c>
      <c r="E25" s="29">
        <v>0.93</v>
      </c>
      <c r="F25" s="105">
        <v>0.50791624700419169</v>
      </c>
      <c r="G25" s="22">
        <f t="shared" si="1"/>
        <v>11.708498382814737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8.1203898198082349</v>
      </c>
      <c r="C31" s="10">
        <f>$D$20/(A31+$E$20)^$F$20</f>
        <v>9.7303097379553094</v>
      </c>
      <c r="D31" s="10">
        <f>$D$21/(A31+$E$21)^$F$21</f>
        <v>11.099996039738929</v>
      </c>
      <c r="E31" s="10">
        <f>$D$22/(A31+$E$22)^$F$22</f>
        <v>13.000000095223712</v>
      </c>
      <c r="F31" s="10">
        <f>$D$23/(A31+$E$23)^$F$23</f>
        <v>14.499995878053047</v>
      </c>
      <c r="G31" s="10">
        <f>$D$24/(A31+$E$24)^$F$24</f>
        <v>15.999996713156628</v>
      </c>
      <c r="H31" s="10">
        <f>$D$25/(A31+$E$25)^$F$25</f>
        <v>17.599998409209036</v>
      </c>
    </row>
    <row r="32" spans="1:8" x14ac:dyDescent="0.25">
      <c r="A32" s="1">
        <v>10</v>
      </c>
      <c r="B32" s="10">
        <f>$D$19/(A32+$E$19)^$F$19</f>
        <v>5.94999865207072</v>
      </c>
      <c r="C32" s="10">
        <f>$D$20/(A32+$E$20)^$F$20</f>
        <v>7.1301515994706239</v>
      </c>
      <c r="D32" s="10">
        <f>$D$21/(A32+$E$21)^$F$21</f>
        <v>8.1203973718701423</v>
      </c>
      <c r="E32" s="10">
        <f>$D$22/(A32+$E$22)^$F$22</f>
        <v>9.5200314557723598</v>
      </c>
      <c r="F32" s="10">
        <f>$D$23/(A32+$E$23)^$F$23</f>
        <v>10.60016282952367</v>
      </c>
      <c r="G32" s="10">
        <f>$D$24/(A32+$E$24)^$F$24</f>
        <v>11.70055431325307</v>
      </c>
      <c r="H32" s="10">
        <f>$D$25/(A32+$E$25)^$F$25</f>
        <v>12.901125869066119</v>
      </c>
    </row>
    <row r="33" spans="1:8" x14ac:dyDescent="0.25">
      <c r="A33" s="1">
        <v>15</v>
      </c>
      <c r="B33" s="10">
        <f>$D$19/(A33+$E$19)^$F$19</f>
        <v>4.8779783057079689</v>
      </c>
      <c r="C33" s="10">
        <f>$D$20/(A33+$E$20)^$F$20</f>
        <v>5.8517336886630087</v>
      </c>
      <c r="D33" s="10">
        <f>$D$21/(A33+$E$21)^$F$21</f>
        <v>6.670882784311881</v>
      </c>
      <c r="E33" s="10">
        <f>$D$22/(A33+$E$22)^$F$22</f>
        <v>7.8348344000044454</v>
      </c>
      <c r="F33" s="10">
        <f>$D$23/(A33+$E$23)^$F$23</f>
        <v>8.7330557265140136</v>
      </c>
      <c r="G33" s="10">
        <f>$D$24/(A33+$E$24)^$F$24</f>
        <v>9.65267714890226</v>
      </c>
      <c r="H33" s="10">
        <f>$D$25/(A33+$E$25)^$F$25</f>
        <v>10.654540932738001</v>
      </c>
    </row>
    <row r="34" spans="1:8" x14ac:dyDescent="0.25">
      <c r="A34" s="1">
        <v>30</v>
      </c>
      <c r="B34" s="10">
        <f>$D$19/(A34+$E$19)^$F$19</f>
        <v>3.409968942207664</v>
      </c>
      <c r="C34" s="10">
        <f>$D$20/(A34+$E$20)^$F$20</f>
        <v>4.1034099758397318</v>
      </c>
      <c r="D34" s="10">
        <f>$D$21/(A34+$E$21)^$F$21</f>
        <v>4.6967504470676325</v>
      </c>
      <c r="E34" s="10">
        <f>$D$22/(A34+$E$22)^$F$22</f>
        <v>5.5413302855304742</v>
      </c>
      <c r="F34" s="10">
        <f>$D$23/(A34+$E$23)^$F$23</f>
        <v>6.2028149789407587</v>
      </c>
      <c r="G34" s="10">
        <f>$D$24/(A34+$E$24)^$F$24</f>
        <v>6.8808658992263556</v>
      </c>
      <c r="H34" s="10">
        <f>$D$25/(A34+$E$25)^$F$25</f>
        <v>7.6062656924200613</v>
      </c>
    </row>
    <row r="35" spans="1:8" x14ac:dyDescent="0.25">
      <c r="A35" s="1">
        <v>60</v>
      </c>
      <c r="B35" s="10">
        <f>$D$19/(A35+$E$19)^$F$19</f>
        <v>2.3502442356899826</v>
      </c>
      <c r="C35" s="10">
        <f>$D$20/(A35+$E$20)^$F$20</f>
        <v>2.8400011943344081</v>
      </c>
      <c r="D35" s="10">
        <f>$D$21/(A35+$E$21)^$F$21</f>
        <v>3.2701628357571386</v>
      </c>
      <c r="E35" s="10">
        <f>$D$22/(A35+$E$22)^$F$22</f>
        <v>3.8802313305996243</v>
      </c>
      <c r="F35" s="10">
        <f>$D$23/(A35+$E$23)^$F$23</f>
        <v>4.3701692710864615</v>
      </c>
      <c r="G35" s="10">
        <f>$D$24/(A35+$E$24)^$F$24</f>
        <v>4.8704134626484432</v>
      </c>
      <c r="H35" s="10">
        <f>$D$25/(A35+$E$25)^$F$25</f>
        <v>5.3903245361604348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2"/>
      <c r="E37" s="12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 s="12"/>
      <c r="E38" s="10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16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35.09567083588076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42.076132475806496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47.936001833555096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56.244847113004667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62.650359938515223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69.195761034281389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76.339409455952079</v>
      </c>
      <c r="D46" s="1"/>
      <c r="E46" s="1"/>
      <c r="F46" s="1"/>
      <c r="G46" s="1"/>
      <c r="H46" s="1"/>
    </row>
  </sheetData>
  <sheetProtection algorithmName="SHA-512" hashValue="fWno4ZOgDN4/w9a06w0PkiQ+byCxZ+omyc3ceFSfa/gU0lr9tTUcG1zF4e2vOXyDcvpK6ui1ZxC3mA5Z57BSVw==" saltValue="39Nial6c7YdNAkTnnWLJtw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H46"/>
  <sheetViews>
    <sheetView zoomScaleNormal="100" workbookViewId="0">
      <selection activeCell="B9" sqref="B9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8" width="10.7109375" style="2" customWidth="1"/>
    <col min="9" max="16384" width="9.28515625" style="2"/>
  </cols>
  <sheetData>
    <row r="1" spans="1:8" ht="19.5" x14ac:dyDescent="0.3">
      <c r="A1" s="1"/>
      <c r="B1" s="1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</row>
    <row r="3" spans="1:8" x14ac:dyDescent="0.25">
      <c r="A3" s="1" t="s">
        <v>0</v>
      </c>
      <c r="B3" s="117"/>
      <c r="C3" s="123"/>
      <c r="D3" s="1"/>
      <c r="E3" s="1"/>
      <c r="F3" s="11" t="s">
        <v>117</v>
      </c>
      <c r="G3" s="286">
        <v>20.260000000000002</v>
      </c>
      <c r="H3" s="33" t="s">
        <v>12</v>
      </c>
    </row>
    <row r="4" spans="1:8" x14ac:dyDescent="0.25">
      <c r="A4" s="1" t="s">
        <v>4</v>
      </c>
      <c r="B4" s="275" t="s">
        <v>84</v>
      </c>
      <c r="C4" s="160"/>
      <c r="D4" s="1"/>
      <c r="E4" s="1"/>
      <c r="F4" s="11" t="s">
        <v>116</v>
      </c>
      <c r="G4" s="287">
        <v>0.45</v>
      </c>
      <c r="H4" s="1"/>
    </row>
    <row r="5" spans="1:8" ht="15" customHeight="1" x14ac:dyDescent="0.25">
      <c r="A5" s="173" t="s">
        <v>118</v>
      </c>
      <c r="B5" s="290" t="s">
        <v>83</v>
      </c>
      <c r="C5" s="160"/>
      <c r="D5" s="173"/>
      <c r="E5" s="173"/>
      <c r="F5" s="174" t="s">
        <v>115</v>
      </c>
      <c r="G5" s="288">
        <v>10.1</v>
      </c>
      <c r="H5" s="175" t="s">
        <v>13</v>
      </c>
    </row>
    <row r="6" spans="1:8" x14ac:dyDescent="0.25">
      <c r="A6" s="1" t="s">
        <v>164</v>
      </c>
      <c r="B6" s="117" t="s">
        <v>64</v>
      </c>
      <c r="C6" s="12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42437</v>
      </c>
      <c r="C8" s="172"/>
    </row>
    <row r="9" spans="1:8" ht="15" customHeight="1" x14ac:dyDescent="0.25">
      <c r="A9" s="173" t="s">
        <v>122</v>
      </c>
      <c r="B9" s="117" t="s">
        <v>2</v>
      </c>
      <c r="C9" s="123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5"/>
      <c r="C10" s="160"/>
      <c r="E10" s="5"/>
      <c r="F10" s="119">
        <v>32.285699999999999</v>
      </c>
      <c r="G10" s="120">
        <v>86.536799999999999</v>
      </c>
      <c r="H10" s="119">
        <v>219</v>
      </c>
    </row>
    <row r="11" spans="1:8" x14ac:dyDescent="0.25">
      <c r="A11" s="26" t="s">
        <v>9</v>
      </c>
      <c r="B11" s="26"/>
      <c r="C11" s="35" t="s">
        <v>85</v>
      </c>
      <c r="D11" s="1"/>
      <c r="E11" s="1"/>
      <c r="F11" s="34">
        <v>32.383299999999998</v>
      </c>
      <c r="G11" s="45">
        <v>86.3</v>
      </c>
      <c r="H11" s="25">
        <v>256</v>
      </c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"/>
      <c r="C15" s="1"/>
      <c r="D15" s="576" t="s">
        <v>457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6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10.1</v>
      </c>
      <c r="D19" s="18">
        <v>19.07</v>
      </c>
      <c r="E19" s="29">
        <v>1.96</v>
      </c>
      <c r="F19" s="110">
        <v>0.57744117603994316</v>
      </c>
      <c r="G19" s="22">
        <f>D19/(C19+E19)^F19</f>
        <v>4.528310851859672</v>
      </c>
      <c r="H19" s="11"/>
    </row>
    <row r="20" spans="1:8" x14ac:dyDescent="0.25">
      <c r="A20" s="4"/>
      <c r="B20" s="6">
        <v>5</v>
      </c>
      <c r="C20" s="10">
        <f t="shared" ref="C20:C25" si="0">C19</f>
        <v>10.1</v>
      </c>
      <c r="D20" s="29">
        <v>22.79</v>
      </c>
      <c r="E20" s="29">
        <v>1.95</v>
      </c>
      <c r="F20" s="110">
        <v>0.5766955968173556</v>
      </c>
      <c r="G20" s="22">
        <f t="shared" ref="G20:G25" si="1">D20/(C20+E20)^F20</f>
        <v>5.4243019247337276</v>
      </c>
      <c r="H20" s="1"/>
    </row>
    <row r="21" spans="1:8" x14ac:dyDescent="0.25">
      <c r="A21" s="4"/>
      <c r="B21" s="6">
        <v>10</v>
      </c>
      <c r="C21" s="10">
        <f t="shared" si="0"/>
        <v>10.1</v>
      </c>
      <c r="D21" s="29">
        <v>25.44</v>
      </c>
      <c r="E21" s="29">
        <v>1.87</v>
      </c>
      <c r="F21" s="110">
        <v>0.57129184777803022</v>
      </c>
      <c r="G21" s="22">
        <f t="shared" si="1"/>
        <v>6.1604254692653333</v>
      </c>
      <c r="H21" s="1"/>
    </row>
    <row r="22" spans="1:8" x14ac:dyDescent="0.25">
      <c r="A22" s="1"/>
      <c r="B22" s="6">
        <v>25</v>
      </c>
      <c r="C22" s="10">
        <f t="shared" si="0"/>
        <v>10.1</v>
      </c>
      <c r="D22" s="46">
        <v>28.68</v>
      </c>
      <c r="E22" s="29">
        <v>1.74</v>
      </c>
      <c r="F22" s="110">
        <v>0.56171138169834389</v>
      </c>
      <c r="G22" s="22">
        <f t="shared" si="1"/>
        <v>7.1559167457087076</v>
      </c>
      <c r="H22" s="1"/>
    </row>
    <row r="23" spans="1:8" x14ac:dyDescent="0.25">
      <c r="A23" s="1"/>
      <c r="B23" s="6">
        <v>50</v>
      </c>
      <c r="C23" s="10">
        <f t="shared" si="0"/>
        <v>10.1</v>
      </c>
      <c r="D23" s="29">
        <v>31.17</v>
      </c>
      <c r="E23" s="29">
        <v>1.75</v>
      </c>
      <c r="F23" s="110">
        <v>0.55504256399314267</v>
      </c>
      <c r="G23" s="22">
        <f>D23/(C23+E23)^F23</f>
        <v>7.9027349449571176</v>
      </c>
      <c r="H23" s="1"/>
    </row>
    <row r="24" spans="1:8" x14ac:dyDescent="0.25">
      <c r="A24" s="1"/>
      <c r="B24" s="6">
        <v>100</v>
      </c>
      <c r="C24" s="10">
        <f t="shared" si="0"/>
        <v>10.1</v>
      </c>
      <c r="D24" s="29">
        <v>31.96</v>
      </c>
      <c r="E24" s="29">
        <v>1.27</v>
      </c>
      <c r="F24" s="110">
        <v>0.53813517368839869</v>
      </c>
      <c r="G24" s="22">
        <f t="shared" si="1"/>
        <v>8.6390289548738632</v>
      </c>
      <c r="H24" s="1"/>
    </row>
    <row r="25" spans="1:8" x14ac:dyDescent="0.25">
      <c r="A25" s="1"/>
      <c r="B25" s="6">
        <v>200</v>
      </c>
      <c r="C25" s="10">
        <f t="shared" si="0"/>
        <v>10.1</v>
      </c>
      <c r="D25" s="29">
        <v>33.75</v>
      </c>
      <c r="E25" s="29">
        <v>1.1599999999999999</v>
      </c>
      <c r="F25" s="110">
        <v>0.52899488261824912</v>
      </c>
      <c r="G25" s="22">
        <f t="shared" si="1"/>
        <v>9.3759514471091254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6.220043511951566</v>
      </c>
      <c r="C31" s="10">
        <f>$D$20/(A31+$E$20)^$F$20</f>
        <v>7.4503280487652601</v>
      </c>
      <c r="D31" s="10">
        <f>$D$21/(A31+$E$21)^$F$21</f>
        <v>8.4600035670051401</v>
      </c>
      <c r="E31" s="10">
        <f>$D$22/(A31+$E$22)^$F$22</f>
        <v>9.819999180743217</v>
      </c>
      <c r="F31" s="10">
        <f>$D$23/(A31+$E$23)^$F$23</f>
        <v>10.800351995924586</v>
      </c>
      <c r="G31" s="10">
        <f>$D$24/(A31+$E$24)^$F$24</f>
        <v>11.900605645928337</v>
      </c>
      <c r="H31" s="10">
        <f>$D$25/(A31+$E$25)^$F$25</f>
        <v>12.899997348047991</v>
      </c>
    </row>
    <row r="32" spans="1:8" x14ac:dyDescent="0.25">
      <c r="A32" s="1">
        <v>10</v>
      </c>
      <c r="B32" s="10">
        <f>$D$19/(A32+$E$19)^$F$19</f>
        <v>4.550135535233939</v>
      </c>
      <c r="C32" s="10">
        <f>$D$20/(A32+$E$20)^$F$20</f>
        <v>5.4504329077225249</v>
      </c>
      <c r="D32" s="10">
        <f>$D$21/(A32+$E$21)^$F$21</f>
        <v>6.1900216842449005</v>
      </c>
      <c r="E32" s="10">
        <f>$D$22/(A32+$E$22)^$F$22</f>
        <v>7.1900912539476689</v>
      </c>
      <c r="F32" s="10">
        <f>$D$23/(A32+$E$23)^$F$23</f>
        <v>7.9399952245695911</v>
      </c>
      <c r="G32" s="10">
        <f>$D$24/(A32+$E$24)^$F$24</f>
        <v>8.6801955934294348</v>
      </c>
      <c r="H32" s="10">
        <f>$D$25/(A32+$E$25)^$F$25</f>
        <v>9.4203009959084909</v>
      </c>
    </row>
    <row r="33" spans="1:8" x14ac:dyDescent="0.25">
      <c r="A33" s="1">
        <v>15</v>
      </c>
      <c r="B33" s="10">
        <f>$D$19/(A33+$E$19)^$F$19</f>
        <v>3.719029177121723</v>
      </c>
      <c r="C33" s="10">
        <f>$D$20/(A33+$E$20)^$F$20</f>
        <v>4.4554089198419957</v>
      </c>
      <c r="D33" s="10">
        <f>$D$21/(A33+$E$21)^$F$21</f>
        <v>5.0637967302101821</v>
      </c>
      <c r="E33" s="10">
        <f>$D$22/(A33+$E$22)^$F$22</f>
        <v>5.8909017600595917</v>
      </c>
      <c r="F33" s="10">
        <f>$D$23/(A33+$E$23)^$F$23</f>
        <v>6.5216349137950056</v>
      </c>
      <c r="G33" s="10">
        <f>$D$24/(A33+$E$24)^$F$24</f>
        <v>7.1238787561156682</v>
      </c>
      <c r="H33" s="10">
        <f>$D$25/(A33+$E$25)^$F$25</f>
        <v>7.7448762643753692</v>
      </c>
    </row>
    <row r="34" spans="1:8" x14ac:dyDescent="0.25">
      <c r="A34" s="1">
        <v>30</v>
      </c>
      <c r="B34" s="10">
        <f>$D$19/(A34+$E$19)^$F$19</f>
        <v>2.5794599544129535</v>
      </c>
      <c r="C34" s="10">
        <f>$D$20/(A34+$E$20)^$F$20</f>
        <v>3.0911679596413175</v>
      </c>
      <c r="D34" s="10">
        <f>$D$21/(A34+$E$21)^$F$21</f>
        <v>3.520847299970375</v>
      </c>
      <c r="E34" s="10">
        <f>$D$22/(A34+$E$22)^$F$22</f>
        <v>4.1125334921829051</v>
      </c>
      <c r="F34" s="10">
        <f>$D$23/(A34+$E$23)^$F$23</f>
        <v>4.5730411792185732</v>
      </c>
      <c r="G34" s="10">
        <f>$D$24/(A34+$E$24)^$F$24</f>
        <v>5.0121708754019858</v>
      </c>
      <c r="H34" s="10">
        <f>$D$25/(A34+$E$25)^$F$25</f>
        <v>5.4722807451835997</v>
      </c>
    </row>
    <row r="35" spans="1:8" x14ac:dyDescent="0.25">
      <c r="A35" s="1">
        <v>60</v>
      </c>
      <c r="B35" s="10">
        <f>$D$19/(A35+$E$19)^$F$19</f>
        <v>1.7599963752977024</v>
      </c>
      <c r="C35" s="10">
        <f>$D$20/(A35+$E$20)^$F$20</f>
        <v>2.1099977489831208</v>
      </c>
      <c r="D35" s="10">
        <f>$D$21/(A35+$E$21)^$F$21</f>
        <v>2.41023351549376</v>
      </c>
      <c r="E35" s="10">
        <f>$D$22/(A35+$E$22)^$F$22</f>
        <v>2.8300720611900863</v>
      </c>
      <c r="F35" s="10">
        <f>$D$23/(A35+$E$23)^$F$23</f>
        <v>3.1612371116938576</v>
      </c>
      <c r="G35" s="10">
        <f>$D$24/(A35+$E$24)^$F$24</f>
        <v>3.4900031756453922</v>
      </c>
      <c r="H35" s="10">
        <f>$D$25/(A35+$E$25)^$F$25</f>
        <v>3.8303779088897159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"/>
      <c r="E37" s="12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 s="1"/>
      <c r="E38" s="10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16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41.284610036404629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49.453360647797396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56.164599003292047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65.240492970626292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72.04923449317404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78.762026981585024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85.480549343293916</v>
      </c>
      <c r="D46" s="1"/>
      <c r="E46" s="1"/>
      <c r="F46" s="1"/>
      <c r="G46" s="1"/>
      <c r="H46" s="1"/>
    </row>
  </sheetData>
  <sheetProtection algorithmName="SHA-512" hashValue="5NXk0TDI02TSUQcMuLl9Omzwlflmb1YTuexhZtmpcQopF+m2N+DvhvEonCFWqpiqhVRiYb8k6/L76G1UoiopRg==" saltValue="WbdQDaoEOowH5uMUtECgKg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53"/>
  <sheetViews>
    <sheetView workbookViewId="0">
      <selection activeCell="C10" sqref="C10"/>
    </sheetView>
  </sheetViews>
  <sheetFormatPr defaultColWidth="8.85546875" defaultRowHeight="15" x14ac:dyDescent="0.25"/>
  <cols>
    <col min="1" max="8" width="10.7109375" style="13" customWidth="1"/>
    <col min="9" max="16384" width="8.85546875" style="13"/>
  </cols>
  <sheetData>
    <row r="1" spans="1:11" ht="19.5" x14ac:dyDescent="0.3">
      <c r="A1" s="1"/>
      <c r="B1" s="168"/>
      <c r="C1" s="575" t="s">
        <v>119</v>
      </c>
      <c r="D1" s="575"/>
      <c r="E1" s="575"/>
      <c r="F1" s="575"/>
      <c r="G1" s="289"/>
      <c r="H1" s="168"/>
      <c r="I1" s="2"/>
      <c r="J1" s="2"/>
      <c r="K1" s="2"/>
    </row>
    <row r="2" spans="1:11" x14ac:dyDescent="0.25">
      <c r="A2" s="1"/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x14ac:dyDescent="0.25">
      <c r="A3" s="1" t="s">
        <v>0</v>
      </c>
      <c r="B3" s="117"/>
      <c r="C3" s="117"/>
      <c r="D3" s="1"/>
      <c r="E3"/>
      <c r="F3" s="11" t="s">
        <v>117</v>
      </c>
      <c r="G3" s="286">
        <v>1</v>
      </c>
      <c r="H3" s="33" t="s">
        <v>12</v>
      </c>
      <c r="I3" s="2"/>
      <c r="J3" s="2"/>
      <c r="K3" s="2"/>
    </row>
    <row r="4" spans="1:11" x14ac:dyDescent="0.25">
      <c r="A4" s="1" t="s">
        <v>4</v>
      </c>
      <c r="B4" s="117" t="s">
        <v>82</v>
      </c>
      <c r="C4" s="117"/>
      <c r="D4" s="1"/>
      <c r="E4"/>
      <c r="F4" s="11" t="s">
        <v>116</v>
      </c>
      <c r="G4" s="286">
        <v>0.4</v>
      </c>
      <c r="H4" s="1"/>
      <c r="I4" s="2"/>
      <c r="J4" s="2"/>
      <c r="K4" s="2"/>
    </row>
    <row r="5" spans="1:11" ht="15" customHeight="1" x14ac:dyDescent="0.25">
      <c r="A5" s="173" t="s">
        <v>118</v>
      </c>
      <c r="B5" s="189"/>
      <c r="C5" s="189"/>
      <c r="D5" s="173"/>
      <c r="E5" s="217"/>
      <c r="F5" s="174" t="s">
        <v>115</v>
      </c>
      <c r="G5" s="297">
        <v>6</v>
      </c>
      <c r="H5" s="175" t="s">
        <v>13</v>
      </c>
      <c r="I5" s="2"/>
      <c r="J5" s="2"/>
      <c r="K5" s="2"/>
    </row>
    <row r="6" spans="1:11" x14ac:dyDescent="0.25">
      <c r="A6" s="33" t="s">
        <v>164</v>
      </c>
      <c r="B6" s="117" t="s">
        <v>486</v>
      </c>
      <c r="C6" s="117"/>
      <c r="D6" s="2"/>
      <c r="E6" s="2"/>
      <c r="I6" s="2"/>
      <c r="J6" s="2"/>
      <c r="K6" s="2"/>
    </row>
    <row r="7" spans="1:11" x14ac:dyDescent="0.25">
      <c r="A7" s="1" t="s">
        <v>10</v>
      </c>
      <c r="B7" s="117"/>
      <c r="C7" s="117"/>
      <c r="D7" s="32"/>
      <c r="E7" s="2"/>
      <c r="I7" s="2"/>
      <c r="J7" s="2"/>
      <c r="K7" s="2"/>
    </row>
    <row r="8" spans="1:11" x14ac:dyDescent="0.25">
      <c r="A8" s="1" t="s">
        <v>121</v>
      </c>
      <c r="B8" s="291">
        <v>43175</v>
      </c>
      <c r="C8" s="189"/>
      <c r="D8" s="2"/>
      <c r="E8" s="2"/>
      <c r="I8" s="2"/>
      <c r="J8" s="2"/>
      <c r="K8" s="2"/>
    </row>
    <row r="9" spans="1:11" ht="15" customHeight="1" x14ac:dyDescent="0.25">
      <c r="A9" s="173" t="s">
        <v>122</v>
      </c>
      <c r="B9" s="117"/>
      <c r="C9" s="117"/>
      <c r="D9" s="165" t="s">
        <v>128</v>
      </c>
      <c r="E9" s="190"/>
      <c r="F9" s="178" t="s">
        <v>380</v>
      </c>
      <c r="G9" s="178" t="s">
        <v>381</v>
      </c>
      <c r="H9" s="178" t="s">
        <v>477</v>
      </c>
      <c r="I9" s="2"/>
      <c r="J9" s="2"/>
      <c r="K9" s="2"/>
    </row>
    <row r="10" spans="1:11" x14ac:dyDescent="0.25">
      <c r="A10" s="1" t="s">
        <v>173</v>
      </c>
      <c r="B10" s="117"/>
      <c r="C10" s="117"/>
      <c r="D10" s="2"/>
      <c r="E10" s="2"/>
      <c r="F10" s="124"/>
      <c r="G10" s="124"/>
      <c r="H10" s="124"/>
      <c r="I10" s="2"/>
      <c r="J10" s="2"/>
      <c r="K10" s="2"/>
    </row>
    <row r="11" spans="1:11" x14ac:dyDescent="0.25">
      <c r="A11" s="26" t="s">
        <v>9</v>
      </c>
      <c r="B11" s="26"/>
      <c r="C11" s="35" t="s">
        <v>373</v>
      </c>
      <c r="D11" s="1"/>
      <c r="E11" s="1"/>
      <c r="F11" s="34" t="s">
        <v>376</v>
      </c>
      <c r="G11" s="45" t="s">
        <v>377</v>
      </c>
      <c r="H11" s="25">
        <v>172</v>
      </c>
      <c r="I11" s="2"/>
      <c r="J11" s="2"/>
      <c r="K11" s="2"/>
    </row>
    <row r="12" spans="1:11" x14ac:dyDescent="0.25">
      <c r="E12" s="2"/>
      <c r="I12" s="2"/>
      <c r="J12" s="2"/>
      <c r="K12" s="2"/>
    </row>
    <row r="13" spans="1:11" x14ac:dyDescent="0.25">
      <c r="E13" s="2"/>
      <c r="I13" s="2"/>
      <c r="J13" s="2"/>
      <c r="K13" s="2"/>
    </row>
    <row r="14" spans="1:11" x14ac:dyDescent="0.25">
      <c r="A14"/>
      <c r="B14"/>
      <c r="C14"/>
      <c r="D14"/>
      <c r="E14" s="1"/>
      <c r="F14" s="1"/>
      <c r="G14" s="1"/>
      <c r="H14" s="1"/>
      <c r="I14" s="2"/>
      <c r="J14" s="2"/>
      <c r="K14" s="2"/>
    </row>
    <row r="15" spans="1:11" ht="18.75" x14ac:dyDescent="0.35">
      <c r="A15" s="1"/>
      <c r="B15" s="1"/>
      <c r="C15"/>
      <c r="D15" s="576" t="s">
        <v>457</v>
      </c>
      <c r="E15" s="576"/>
      <c r="F15" s="576"/>
      <c r="G15" s="1"/>
      <c r="H15" s="1"/>
      <c r="I15" s="2"/>
      <c r="J15" s="2"/>
      <c r="K15" s="2"/>
    </row>
    <row r="16" spans="1:11" x14ac:dyDescent="0.25">
      <c r="A16" s="1"/>
      <c r="B16" s="6" t="s">
        <v>14</v>
      </c>
      <c r="C16" s="6"/>
      <c r="D16" s="1" t="s">
        <v>15</v>
      </c>
      <c r="E16" s="7" t="s">
        <v>16</v>
      </c>
      <c r="F16" s="7" t="s">
        <v>17</v>
      </c>
      <c r="G16" s="6" t="s">
        <v>18</v>
      </c>
      <c r="H16" s="1"/>
      <c r="I16" s="2"/>
      <c r="J16" s="2"/>
      <c r="K16" s="2"/>
    </row>
    <row r="17" spans="1:11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  <c r="I17" s="2"/>
      <c r="J17" s="2"/>
      <c r="K17" s="2"/>
    </row>
    <row r="18" spans="1:11" x14ac:dyDescent="0.25">
      <c r="A18" s="1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1"/>
      <c r="I18" s="2"/>
      <c r="J18" s="2"/>
      <c r="K18" s="2"/>
    </row>
    <row r="19" spans="1:11" x14ac:dyDescent="0.25">
      <c r="A19" s="7"/>
      <c r="B19" s="6">
        <v>2</v>
      </c>
      <c r="C19" s="10">
        <f>G5</f>
        <v>6</v>
      </c>
      <c r="D19" s="29">
        <v>22.51</v>
      </c>
      <c r="E19" s="43">
        <v>1.73</v>
      </c>
      <c r="F19" s="105">
        <v>0.55855604661815583</v>
      </c>
      <c r="G19" s="22">
        <f>D19/(C19+E19)^F19</f>
        <v>7.1825303235023394</v>
      </c>
      <c r="H19" s="1"/>
      <c r="I19" s="2"/>
      <c r="J19" s="2"/>
      <c r="K19" s="2"/>
    </row>
    <row r="20" spans="1:11" x14ac:dyDescent="0.25">
      <c r="A20" s="7"/>
      <c r="B20" s="6">
        <v>5</v>
      </c>
      <c r="C20" s="10">
        <f t="shared" ref="C20:C25" si="0">C19</f>
        <v>6</v>
      </c>
      <c r="D20" s="29">
        <v>25.8</v>
      </c>
      <c r="E20" s="29">
        <v>1.49</v>
      </c>
      <c r="F20" s="105">
        <v>0.54614591070044283</v>
      </c>
      <c r="G20" s="22">
        <f t="shared" ref="G20:G25" si="1">D20/(C20+E20)^F20</f>
        <v>8.5906304539451988</v>
      </c>
      <c r="H20" s="1"/>
      <c r="I20" s="2"/>
      <c r="J20" s="2"/>
      <c r="K20" s="2"/>
    </row>
    <row r="21" spans="1:11" x14ac:dyDescent="0.25">
      <c r="A21" s="6"/>
      <c r="B21" s="6">
        <v>10</v>
      </c>
      <c r="C21" s="10">
        <f t="shared" si="0"/>
        <v>6</v>
      </c>
      <c r="D21" s="29">
        <v>28.14</v>
      </c>
      <c r="E21" s="29">
        <v>1.23</v>
      </c>
      <c r="F21" s="105">
        <v>0.5336954584550534</v>
      </c>
      <c r="G21" s="22">
        <f t="shared" si="1"/>
        <v>9.7905228567537854</v>
      </c>
      <c r="H21" s="1"/>
      <c r="I21" s="2"/>
      <c r="J21" s="2"/>
      <c r="K21" s="2"/>
    </row>
    <row r="22" spans="1:11" x14ac:dyDescent="0.25">
      <c r="A22" s="1"/>
      <c r="B22" s="6">
        <v>25</v>
      </c>
      <c r="C22" s="10">
        <f t="shared" si="0"/>
        <v>6</v>
      </c>
      <c r="D22" s="29">
        <v>31.17</v>
      </c>
      <c r="E22" s="29">
        <v>0.97</v>
      </c>
      <c r="F22" s="105">
        <v>0.51585709840478999</v>
      </c>
      <c r="G22" s="22">
        <f t="shared" si="1"/>
        <v>11.448515806473562</v>
      </c>
      <c r="H22" s="1"/>
      <c r="I22" s="2"/>
      <c r="J22" s="2"/>
      <c r="K22" s="2"/>
    </row>
    <row r="23" spans="1:11" x14ac:dyDescent="0.25">
      <c r="A23" s="1"/>
      <c r="B23" s="6">
        <v>50</v>
      </c>
      <c r="C23" s="10">
        <f t="shared" si="0"/>
        <v>6</v>
      </c>
      <c r="D23" s="29">
        <v>33.36</v>
      </c>
      <c r="E23" s="29">
        <v>0.8</v>
      </c>
      <c r="F23" s="105">
        <v>0.50212175864223141</v>
      </c>
      <c r="G23" s="22">
        <f>D23/(C23+E23)^F23</f>
        <v>12.741049489725249</v>
      </c>
      <c r="H23" s="1"/>
      <c r="I23" s="2"/>
      <c r="J23" s="2"/>
      <c r="K23" s="2"/>
    </row>
    <row r="24" spans="1:11" x14ac:dyDescent="0.25">
      <c r="A24" s="1"/>
      <c r="B24" s="6">
        <v>100</v>
      </c>
      <c r="C24" s="10">
        <f t="shared" si="0"/>
        <v>6</v>
      </c>
      <c r="D24" s="29">
        <v>36.53</v>
      </c>
      <c r="E24" s="29">
        <v>0.87</v>
      </c>
      <c r="F24" s="105">
        <v>0.49543140246515693</v>
      </c>
      <c r="G24" s="22">
        <f t="shared" si="1"/>
        <v>14.06031408271293</v>
      </c>
      <c r="H24" s="1"/>
      <c r="I24" s="2"/>
      <c r="J24" s="2"/>
      <c r="K24" s="2"/>
    </row>
    <row r="25" spans="1:11" x14ac:dyDescent="0.25">
      <c r="A25" s="1"/>
      <c r="B25" s="6">
        <v>200</v>
      </c>
      <c r="C25" s="10">
        <f t="shared" si="0"/>
        <v>6</v>
      </c>
      <c r="D25" s="29">
        <v>36.08</v>
      </c>
      <c r="E25" s="29">
        <v>0.21</v>
      </c>
      <c r="F25" s="105">
        <v>0.46668204324168117</v>
      </c>
      <c r="G25" s="22">
        <f t="shared" si="1"/>
        <v>15.386679952364144</v>
      </c>
      <c r="H25" s="1"/>
      <c r="I25" s="2"/>
      <c r="J25" s="2"/>
      <c r="K25" s="2"/>
    </row>
    <row r="26" spans="1:11" x14ac:dyDescent="0.25">
      <c r="A26" s="1"/>
      <c r="B26" s="1"/>
      <c r="C26" s="1"/>
      <c r="D26" s="1"/>
      <c r="E26" s="255"/>
      <c r="F26" s="255"/>
      <c r="G26" s="255"/>
      <c r="H26" s="1"/>
      <c r="I26" s="2"/>
      <c r="J26" s="2"/>
      <c r="K26" s="2"/>
    </row>
    <row r="27" spans="1:11" x14ac:dyDescent="0.25">
      <c r="A27" s="1"/>
      <c r="B27" s="1"/>
      <c r="C27"/>
      <c r="D27" s="577" t="s">
        <v>28</v>
      </c>
      <c r="E27" s="577"/>
      <c r="F27" s="577"/>
      <c r="G27" s="1"/>
      <c r="H27" s="1"/>
      <c r="I27" s="2"/>
      <c r="J27" s="2"/>
      <c r="K27" s="2"/>
    </row>
    <row r="28" spans="1:11" x14ac:dyDescent="0.25">
      <c r="A28" s="1"/>
      <c r="B28" s="1"/>
      <c r="C28" s="1"/>
      <c r="D28" s="1"/>
      <c r="E28" s="6" t="s">
        <v>120</v>
      </c>
      <c r="F28" s="1"/>
      <c r="G28" s="1"/>
      <c r="H28" s="1"/>
      <c r="I28" s="2"/>
      <c r="J28" s="2"/>
      <c r="K28" s="2"/>
    </row>
    <row r="29" spans="1:11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  <c r="I29" s="2"/>
      <c r="J29" s="2"/>
      <c r="K29" s="2"/>
    </row>
    <row r="30" spans="1:11" ht="15" customHeight="1" x14ac:dyDescent="0.25">
      <c r="A30" s="177" t="s">
        <v>63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  <c r="I30" s="2"/>
      <c r="J30" s="2"/>
      <c r="K30" s="2"/>
    </row>
    <row r="31" spans="1:11" x14ac:dyDescent="0.25">
      <c r="A31" s="1">
        <v>5</v>
      </c>
      <c r="B31" s="10">
        <f>$D$19/(A31+$E$19)^$F$19</f>
        <v>7.7603743972327219</v>
      </c>
      <c r="C31" s="10">
        <f>$D$20/(A31+$E$20)^$F$20</f>
        <v>9.2899972688799437</v>
      </c>
      <c r="D31" s="10">
        <f>$D$21/(A31+$E$21)^$F$21</f>
        <v>10.600087025806483</v>
      </c>
      <c r="E31" s="10">
        <f>$D$22/(A31+$E$22)^$F$22</f>
        <v>12.400663859379655</v>
      </c>
      <c r="F31" s="10">
        <f>$D$23/(A31+$E$23)^$F$23</f>
        <v>13.800417819579884</v>
      </c>
      <c r="G31" s="10">
        <f>$D$24/(A31+$E$24)^$F$24</f>
        <v>15.199952113268109</v>
      </c>
      <c r="H31" s="10">
        <f>$D$25/(A31+$E$25)^$F$25</f>
        <v>16.700567745349097</v>
      </c>
      <c r="I31" s="2"/>
      <c r="J31" s="2"/>
      <c r="K31" s="2"/>
    </row>
    <row r="32" spans="1:11" x14ac:dyDescent="0.25">
      <c r="A32" s="1">
        <v>10</v>
      </c>
      <c r="B32" s="10">
        <f>$D$19/(A32+$E$19)^$F$19</f>
        <v>5.6900046943645908</v>
      </c>
      <c r="C32" s="10">
        <f>$D$20/(A32+$E$20)^$F$20</f>
        <v>6.8003342279211738</v>
      </c>
      <c r="D32" s="10">
        <f>$D$21/(A32+$E$21)^$F$21</f>
        <v>7.7400040428518588</v>
      </c>
      <c r="E32" s="10">
        <f>$D$22/(A32+$E$22)^$F$22</f>
        <v>9.0602218004642214</v>
      </c>
      <c r="F32" s="10">
        <f>$D$23/(A32+$E$23)^$F$23</f>
        <v>10.100002666436371</v>
      </c>
      <c r="G32" s="10">
        <f>$D$24/(A32+$E$24)^$F$24</f>
        <v>11.201315139459867</v>
      </c>
      <c r="H32" s="10">
        <f>$D$25/(A32+$E$25)^$F$25</f>
        <v>12.200351239023435</v>
      </c>
      <c r="I32" s="2"/>
      <c r="J32" s="2"/>
      <c r="K32" s="2"/>
    </row>
    <row r="33" spans="1:11" x14ac:dyDescent="0.25">
      <c r="A33" s="1">
        <v>15</v>
      </c>
      <c r="B33" s="10">
        <f>$D$19/(A33+$E$19)^$F$19</f>
        <v>4.6664266013784603</v>
      </c>
      <c r="C33" s="10">
        <f>$D$20/(A33+$E$20)^$F$20</f>
        <v>5.582639993036592</v>
      </c>
      <c r="D33" s="10">
        <f>$D$21/(A33+$E$21)^$F$21</f>
        <v>6.3589087918415386</v>
      </c>
      <c r="E33" s="10">
        <f>$D$22/(A33+$E$22)^$F$22</f>
        <v>7.4645463615407595</v>
      </c>
      <c r="F33" s="10">
        <f>$D$23/(A33+$E$23)^$F$23</f>
        <v>8.3436146398631177</v>
      </c>
      <c r="G33" s="10">
        <f>$D$24/(A33+$E$24)^$F$24</f>
        <v>9.2863738104916465</v>
      </c>
      <c r="H33" s="10">
        <f>$D$25/(A33+$E$25)^$F$25</f>
        <v>10.129501005361719</v>
      </c>
      <c r="I33" s="2"/>
      <c r="J33" s="2"/>
      <c r="K33" s="2"/>
    </row>
    <row r="34" spans="1:11" x14ac:dyDescent="0.25">
      <c r="A34" s="1">
        <v>30</v>
      </c>
      <c r="B34" s="10">
        <f>$D$19/(A34+$E$19)^$F$19</f>
        <v>3.2637757210148743</v>
      </c>
      <c r="C34" s="10">
        <f>$D$20/(A34+$E$20)^$F$20</f>
        <v>3.9210179804713157</v>
      </c>
      <c r="D34" s="10">
        <f>$D$21/(A34+$E$21)^$F$21</f>
        <v>4.4841260556855849</v>
      </c>
      <c r="E34" s="10">
        <f>$D$22/(A34+$E$22)^$F$22</f>
        <v>5.3042526031274511</v>
      </c>
      <c r="F34" s="10">
        <f>$D$23/(A34+$E$23)^$F$23</f>
        <v>5.9674987728141504</v>
      </c>
      <c r="G34" s="10">
        <f>$D$24/(A34+$E$24)^$F$24</f>
        <v>6.6786156504047174</v>
      </c>
      <c r="H34" s="10">
        <f>$D$25/(A34+$E$25)^$F$25</f>
        <v>7.3537144872397944</v>
      </c>
      <c r="I34" s="2"/>
      <c r="J34" s="2"/>
      <c r="K34" s="2"/>
    </row>
    <row r="35" spans="1:11" x14ac:dyDescent="0.25">
      <c r="A35" s="1">
        <v>60</v>
      </c>
      <c r="B35" s="10">
        <f>$D$19/(A35+$E$19)^$F$19</f>
        <v>2.2505204988112562</v>
      </c>
      <c r="C35" s="10">
        <f>$D$20/(A35+$E$20)^$F$20</f>
        <v>2.7206423059233775</v>
      </c>
      <c r="D35" s="10">
        <f>$D$21/(A35+$E$21)^$F$21</f>
        <v>3.1306129933706281</v>
      </c>
      <c r="E35" s="10">
        <f>$D$22/(A35+$E$22)^$F$22</f>
        <v>3.7400029227751035</v>
      </c>
      <c r="F35" s="10">
        <f>$D$23/(A35+$E$23)^$F$23</f>
        <v>4.2412047535459276</v>
      </c>
      <c r="G35" s="10">
        <f>$D$24/(A35+$E$24)^$F$24</f>
        <v>4.7708992111955562</v>
      </c>
      <c r="H35" s="10">
        <f>$D$25/(A35+$E$25)^$F$25</f>
        <v>5.3299991237872852</v>
      </c>
      <c r="I35" s="2"/>
      <c r="J35" s="2"/>
      <c r="K35" s="2"/>
    </row>
    <row r="36" spans="1:11" x14ac:dyDescent="0.25">
      <c r="A36" s="1"/>
      <c r="B36" s="12"/>
      <c r="C36" s="12"/>
      <c r="D36" s="12"/>
      <c r="E36" s="12"/>
      <c r="F36" s="12"/>
      <c r="G36" s="12"/>
      <c r="H36" s="12"/>
      <c r="I36" s="2"/>
      <c r="J36" s="2"/>
      <c r="K36" s="2"/>
    </row>
    <row r="37" spans="1:11" x14ac:dyDescent="0.25">
      <c r="A37" s="1"/>
      <c r="B37" s="168" t="s">
        <v>14</v>
      </c>
      <c r="C37" s="284" t="s">
        <v>30</v>
      </c>
      <c r="D37" s="12"/>
      <c r="E37" s="10"/>
      <c r="F37" s="12"/>
      <c r="G37" s="12"/>
      <c r="H37" s="12"/>
      <c r="I37" s="2"/>
      <c r="J37" s="2"/>
      <c r="K37" s="2"/>
    </row>
    <row r="38" spans="1:11" x14ac:dyDescent="0.25">
      <c r="A38" s="1"/>
      <c r="B38" s="168" t="s">
        <v>19</v>
      </c>
      <c r="C38" s="284" t="s">
        <v>31</v>
      </c>
      <c r="D38" s="1"/>
      <c r="E38" s="6"/>
      <c r="F38" s="116"/>
      <c r="G38" s="1"/>
      <c r="H38" s="1"/>
      <c r="I38" s="2"/>
      <c r="J38" s="2"/>
      <c r="K38" s="2"/>
    </row>
    <row r="39" spans="1:11" ht="15" customHeight="1" x14ac:dyDescent="0.25">
      <c r="A39" s="1"/>
      <c r="B39" s="176" t="s">
        <v>25</v>
      </c>
      <c r="C39" s="176" t="s">
        <v>386</v>
      </c>
      <c r="D39" s="1"/>
      <c r="E39" s="6"/>
      <c r="F39" s="1"/>
      <c r="G39" s="1"/>
      <c r="H39" s="1"/>
      <c r="I39" s="2"/>
      <c r="J39" s="2"/>
      <c r="K39" s="2"/>
    </row>
    <row r="40" spans="1:11" x14ac:dyDescent="0.25">
      <c r="A40" s="1"/>
      <c r="B40" s="168">
        <v>2</v>
      </c>
      <c r="C40" s="169">
        <f t="shared" ref="C40:C46" si="2">$G$4*G19*$G$3</f>
        <v>2.8730121294009359</v>
      </c>
      <c r="D40" s="1"/>
      <c r="E40" s="6"/>
      <c r="F40" s="1"/>
      <c r="G40" s="1"/>
      <c r="H40" s="1"/>
      <c r="I40" s="2"/>
      <c r="J40" s="2"/>
      <c r="K40" s="2"/>
    </row>
    <row r="41" spans="1:11" x14ac:dyDescent="0.25">
      <c r="A41" s="1"/>
      <c r="B41" s="168">
        <v>5</v>
      </c>
      <c r="C41" s="170">
        <f t="shared" si="2"/>
        <v>3.4362521815780798</v>
      </c>
      <c r="D41" s="1"/>
      <c r="E41" s="6"/>
      <c r="F41" s="1"/>
      <c r="G41" s="1"/>
      <c r="H41" s="1"/>
      <c r="I41" s="2"/>
      <c r="J41" s="2"/>
      <c r="K41" s="2"/>
    </row>
    <row r="42" spans="1:11" x14ac:dyDescent="0.25">
      <c r="A42" s="1"/>
      <c r="B42" s="168">
        <v>10</v>
      </c>
      <c r="C42" s="170">
        <f t="shared" si="2"/>
        <v>3.9162091427015144</v>
      </c>
      <c r="D42" s="1"/>
      <c r="E42" s="6"/>
      <c r="F42" s="1"/>
      <c r="G42" s="1"/>
      <c r="H42" s="1"/>
      <c r="I42" s="2"/>
      <c r="J42" s="2"/>
      <c r="K42" s="2"/>
    </row>
    <row r="43" spans="1:11" x14ac:dyDescent="0.25">
      <c r="A43" s="1"/>
      <c r="B43" s="168">
        <v>25</v>
      </c>
      <c r="C43" s="170">
        <f t="shared" si="2"/>
        <v>4.579406322589425</v>
      </c>
      <c r="D43" s="1"/>
      <c r="E43" s="6"/>
      <c r="F43" s="1"/>
      <c r="G43" s="1"/>
      <c r="H43" s="1"/>
      <c r="I43" s="2"/>
      <c r="J43" s="2"/>
      <c r="K43" s="2"/>
    </row>
    <row r="44" spans="1:11" x14ac:dyDescent="0.25">
      <c r="A44" s="1"/>
      <c r="B44" s="168">
        <v>50</v>
      </c>
      <c r="C44" s="170">
        <f t="shared" si="2"/>
        <v>5.0964197958900996</v>
      </c>
      <c r="D44" s="1"/>
      <c r="E44" s="6"/>
      <c r="F44" s="1"/>
      <c r="G44" s="1"/>
      <c r="H44" s="1"/>
      <c r="I44" s="2"/>
      <c r="J44" s="2"/>
      <c r="K44" s="2"/>
    </row>
    <row r="45" spans="1:11" x14ac:dyDescent="0.25">
      <c r="A45" s="1"/>
      <c r="B45" s="168">
        <v>100</v>
      </c>
      <c r="C45" s="170">
        <f t="shared" si="2"/>
        <v>5.6241256330851721</v>
      </c>
      <c r="D45" s="1"/>
      <c r="E45" s="1"/>
      <c r="F45" s="1"/>
      <c r="G45" s="1"/>
      <c r="H45" s="1"/>
      <c r="I45" s="2"/>
      <c r="J45" s="2"/>
      <c r="K45" s="2"/>
    </row>
    <row r="46" spans="1:11" x14ac:dyDescent="0.25">
      <c r="A46" s="1"/>
      <c r="B46" s="168">
        <v>200</v>
      </c>
      <c r="C46" s="170">
        <f t="shared" si="2"/>
        <v>6.1546719809456576</v>
      </c>
      <c r="D46" s="1"/>
      <c r="E46" s="1"/>
      <c r="F46" s="1"/>
      <c r="G46" s="1"/>
      <c r="H46" s="1"/>
      <c r="I46" s="2"/>
      <c r="J46" s="2"/>
      <c r="K46" s="2"/>
    </row>
    <row r="47" spans="1:11" x14ac:dyDescent="0.25"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</sheetData>
  <sheetProtection algorithmName="SHA-512" hashValue="kcHjPPr4eAQgrRKvVKGPxFto7LP5sXcwCDTTP0c9bb2bCbYE0ldyyWq4RROaFnmmRmyCuUK9uZ6b6vK1YPPwsw==" saltValue="sxaWPqP2gN6cAImIcYKCNA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H46"/>
  <sheetViews>
    <sheetView workbookViewId="0">
      <selection activeCell="H10" sqref="H10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8" width="10.7109375" style="2" customWidth="1"/>
    <col min="9" max="16384" width="9.28515625" style="2"/>
  </cols>
  <sheetData>
    <row r="1" spans="1:8" ht="19.5" x14ac:dyDescent="0.3">
      <c r="A1" s="1"/>
      <c r="B1" s="1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  <c r="D2" s="3"/>
    </row>
    <row r="3" spans="1:8" x14ac:dyDescent="0.25">
      <c r="A3" s="1" t="s">
        <v>0</v>
      </c>
      <c r="B3" s="117"/>
      <c r="C3" s="123"/>
      <c r="D3" s="1"/>
      <c r="E3" s="1"/>
      <c r="F3" s="11" t="s">
        <v>117</v>
      </c>
      <c r="G3" s="286">
        <v>3.88</v>
      </c>
      <c r="H3" s="33" t="s">
        <v>12</v>
      </c>
    </row>
    <row r="4" spans="1:8" x14ac:dyDescent="0.25">
      <c r="A4" s="1" t="s">
        <v>4</v>
      </c>
      <c r="B4" s="275" t="s">
        <v>87</v>
      </c>
      <c r="C4" s="123"/>
      <c r="D4" s="1"/>
      <c r="E4" s="1"/>
      <c r="F4" s="11" t="s">
        <v>116</v>
      </c>
      <c r="G4" s="287">
        <v>0.38</v>
      </c>
      <c r="H4" s="1"/>
    </row>
    <row r="5" spans="1:8" ht="15" customHeight="1" x14ac:dyDescent="0.25">
      <c r="A5" s="173" t="s">
        <v>118</v>
      </c>
      <c r="B5" s="276" t="s">
        <v>86</v>
      </c>
      <c r="C5" s="172"/>
      <c r="D5" s="173"/>
      <c r="E5" s="173"/>
      <c r="F5" s="174" t="s">
        <v>115</v>
      </c>
      <c r="G5" s="288">
        <v>5</v>
      </c>
      <c r="H5" s="175" t="s">
        <v>13</v>
      </c>
    </row>
    <row r="6" spans="1:8" x14ac:dyDescent="0.25">
      <c r="A6" s="1" t="s">
        <v>164</v>
      </c>
      <c r="B6" s="117" t="s">
        <v>64</v>
      </c>
      <c r="C6" s="12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43061</v>
      </c>
      <c r="C8" s="172"/>
    </row>
    <row r="9" spans="1:8" ht="15" customHeight="1" x14ac:dyDescent="0.25">
      <c r="A9" s="173" t="s">
        <v>122</v>
      </c>
      <c r="B9" s="117" t="s">
        <v>2</v>
      </c>
      <c r="C9" s="123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5" t="s">
        <v>88</v>
      </c>
      <c r="C10" s="160"/>
      <c r="E10" s="5"/>
      <c r="F10" s="119">
        <v>34.180599999999998</v>
      </c>
      <c r="G10" s="120">
        <v>86.76</v>
      </c>
      <c r="H10" s="119">
        <v>842</v>
      </c>
    </row>
    <row r="11" spans="1:8" x14ac:dyDescent="0.25">
      <c r="A11" s="26" t="s">
        <v>9</v>
      </c>
      <c r="B11" s="26"/>
      <c r="C11" s="35" t="s">
        <v>89</v>
      </c>
      <c r="D11" s="1"/>
      <c r="E11" s="1"/>
      <c r="F11" s="34">
        <v>33.947800000000001</v>
      </c>
      <c r="G11" s="45">
        <v>86.469200000000001</v>
      </c>
      <c r="H11" s="25">
        <v>892</v>
      </c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6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5</v>
      </c>
      <c r="D19" s="29">
        <v>18.29</v>
      </c>
      <c r="E19" s="29">
        <v>2</v>
      </c>
      <c r="F19" s="105">
        <v>0.57703720611732479</v>
      </c>
      <c r="G19" s="22">
        <f>D19/(C19+E19)^F19</f>
        <v>5.9505991182813434</v>
      </c>
      <c r="H19" s="11"/>
    </row>
    <row r="20" spans="1:8" x14ac:dyDescent="0.25">
      <c r="A20" s="4"/>
      <c r="B20" s="6">
        <v>5</v>
      </c>
      <c r="C20" s="10">
        <f t="shared" ref="C20:C25" si="0">C19</f>
        <v>5</v>
      </c>
      <c r="D20" s="29">
        <v>22.08</v>
      </c>
      <c r="E20" s="29">
        <v>1.97</v>
      </c>
      <c r="F20" s="109">
        <v>0.577116935483871</v>
      </c>
      <c r="G20" s="22">
        <f t="shared" ref="G20:G25" si="1">D20/(C20+E20)^F20</f>
        <v>7.2003756120344038</v>
      </c>
      <c r="H20" s="1"/>
    </row>
    <row r="21" spans="1:8" x14ac:dyDescent="0.25">
      <c r="A21" s="4"/>
      <c r="B21" s="6">
        <v>10</v>
      </c>
      <c r="C21" s="10">
        <f t="shared" si="0"/>
        <v>5</v>
      </c>
      <c r="D21" s="29">
        <v>25.49</v>
      </c>
      <c r="E21" s="29">
        <v>1.99</v>
      </c>
      <c r="F21" s="105">
        <v>0.57762786346353567</v>
      </c>
      <c r="G21" s="22">
        <f t="shared" si="1"/>
        <v>8.2904153393230704</v>
      </c>
      <c r="H21" s="1"/>
    </row>
    <row r="22" spans="1:8" x14ac:dyDescent="0.25">
      <c r="A22" s="1"/>
      <c r="B22" s="6">
        <v>25</v>
      </c>
      <c r="C22" s="10">
        <f t="shared" si="0"/>
        <v>5</v>
      </c>
      <c r="D22" s="29">
        <v>31</v>
      </c>
      <c r="E22" s="29">
        <v>2.08</v>
      </c>
      <c r="F22" s="105">
        <v>0.58316513115913948</v>
      </c>
      <c r="G22" s="22">
        <f t="shared" si="1"/>
        <v>9.900381674563727</v>
      </c>
      <c r="H22" s="1"/>
    </row>
    <row r="23" spans="1:8" x14ac:dyDescent="0.25">
      <c r="A23" s="1"/>
      <c r="B23" s="6">
        <v>50</v>
      </c>
      <c r="C23" s="10">
        <f t="shared" si="0"/>
        <v>5</v>
      </c>
      <c r="D23" s="29">
        <v>35.67</v>
      </c>
      <c r="E23" s="29">
        <v>2.1800000000000002</v>
      </c>
      <c r="F23" s="105">
        <v>0.58762286258801111</v>
      </c>
      <c r="G23" s="22">
        <f>D23/(C23+E23)^F23</f>
        <v>11.200175108642199</v>
      </c>
      <c r="H23" s="1"/>
    </row>
    <row r="24" spans="1:8" x14ac:dyDescent="0.25">
      <c r="A24" s="1"/>
      <c r="B24" s="6">
        <v>100</v>
      </c>
      <c r="C24" s="10">
        <f t="shared" si="0"/>
        <v>5</v>
      </c>
      <c r="D24" s="29">
        <v>40.74</v>
      </c>
      <c r="E24" s="29">
        <v>2.2400000000000002</v>
      </c>
      <c r="F24" s="105">
        <v>0.59277495503989663</v>
      </c>
      <c r="G24" s="22">
        <f t="shared" si="1"/>
        <v>12.600550949853016</v>
      </c>
      <c r="H24" s="1"/>
    </row>
    <row r="25" spans="1:8" x14ac:dyDescent="0.25">
      <c r="A25" s="1"/>
      <c r="B25" s="6">
        <v>200</v>
      </c>
      <c r="C25" s="10">
        <f t="shared" si="0"/>
        <v>5</v>
      </c>
      <c r="D25" s="10">
        <v>45.11</v>
      </c>
      <c r="E25" s="29">
        <v>2.14</v>
      </c>
      <c r="F25" s="105">
        <v>0.59160762328680294</v>
      </c>
      <c r="G25" s="22">
        <f t="shared" si="1"/>
        <v>14.099978714012719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5.9505991182813434</v>
      </c>
      <c r="C31" s="10">
        <f>$D$20/(A31+$E$20)^$F$20</f>
        <v>7.2003756120344038</v>
      </c>
      <c r="D31" s="10">
        <f>$D$21/(A31+$E$21)^$F$21</f>
        <v>8.2904153393230704</v>
      </c>
      <c r="E31" s="10">
        <f>$D$22/(A31+$E$22)^$F$22</f>
        <v>9.900381674563727</v>
      </c>
      <c r="F31" s="10">
        <f>$D$23/(A31+$E$23)^$F$23</f>
        <v>11.200175108642199</v>
      </c>
      <c r="G31" s="10">
        <f>$D$24/(A31+$E$24)^$F$24</f>
        <v>12.600550949853016</v>
      </c>
      <c r="H31" s="10">
        <f>$D$25/(A31+$E$25)^$F$25</f>
        <v>14.099978714012719</v>
      </c>
    </row>
    <row r="32" spans="1:8" x14ac:dyDescent="0.25">
      <c r="A32" s="1">
        <v>10</v>
      </c>
      <c r="B32" s="10">
        <f>$D$19/(A32+$E$19)^$F$19</f>
        <v>4.3599948307251601</v>
      </c>
      <c r="C32" s="10">
        <f>$D$20/(A32+$E$20)^$F$20</f>
        <v>5.2700250167866765</v>
      </c>
      <c r="D32" s="10">
        <f>$D$21/(A32+$E$21)^$F$21</f>
        <v>6.0703511689014524</v>
      </c>
      <c r="E32" s="10">
        <f>$D$22/(A32+$E$22)^$F$22</f>
        <v>7.2499996929675889</v>
      </c>
      <c r="F32" s="10">
        <f>$D$23/(A32+$E$23)^$F$23</f>
        <v>8.2101660735638742</v>
      </c>
      <c r="G32" s="10">
        <f>$D$24/(A32+$E$24)^$F$24</f>
        <v>9.2302070605029449</v>
      </c>
      <c r="H32" s="10">
        <f>$D$25/(A32+$E$25)^$F$25</f>
        <v>10.300084479150094</v>
      </c>
    </row>
    <row r="33" spans="1:8" x14ac:dyDescent="0.25">
      <c r="A33" s="1">
        <v>15</v>
      </c>
      <c r="B33" s="10">
        <f>$D$19/(A33+$E$19)^$F$19</f>
        <v>3.5661441783389884</v>
      </c>
      <c r="C33" s="10">
        <f>$D$20/(A33+$E$20)^$F$20</f>
        <v>4.308527334726973</v>
      </c>
      <c r="D33" s="10">
        <f>$D$21/(A33+$E$21)^$F$21</f>
        <v>4.9633609829869885</v>
      </c>
      <c r="E33" s="10">
        <f>$D$22/(A33+$E$22)^$F$22</f>
        <v>5.9240367715479163</v>
      </c>
      <c r="F33" s="10">
        <f>$D$23/(A33+$E$23)^$F$23</f>
        <v>6.7077252422588884</v>
      </c>
      <c r="G33" s="10">
        <f>$D$24/(A33+$E$24)^$F$24</f>
        <v>7.5341229823707776</v>
      </c>
      <c r="H33" s="10">
        <f>$D$25/(A33+$E$25)^$F$25</f>
        <v>8.3989040564600117</v>
      </c>
    </row>
    <row r="34" spans="1:8" x14ac:dyDescent="0.25">
      <c r="A34" s="1">
        <v>30</v>
      </c>
      <c r="B34" s="10">
        <f>$D$19/(A34+$E$19)^$F$19</f>
        <v>2.4756324529215545</v>
      </c>
      <c r="C34" s="10">
        <f>$D$20/(A34+$E$20)^$F$20</f>
        <v>2.9894177586450006</v>
      </c>
      <c r="D34" s="10">
        <f>$D$21/(A34+$E$21)^$F$21</f>
        <v>3.443750470153033</v>
      </c>
      <c r="E34" s="10">
        <f>$D$22/(A34+$E$22)^$F$22</f>
        <v>4.1018364115941521</v>
      </c>
      <c r="F34" s="10">
        <f>$D$23/(A34+$E$23)^$F$23</f>
        <v>4.6388580695735797</v>
      </c>
      <c r="G34" s="10">
        <f>$D$24/(A34+$E$24)^$F$24</f>
        <v>5.1985500157391806</v>
      </c>
      <c r="H34" s="10">
        <f>$D$25/(A34+$E$25)^$F$25</f>
        <v>5.7901924714751694</v>
      </c>
    </row>
    <row r="35" spans="1:8" x14ac:dyDescent="0.25">
      <c r="A35" s="1">
        <v>60</v>
      </c>
      <c r="B35" s="10">
        <f>$D$19/(A35+$E$19)^$F$19</f>
        <v>1.6901957786587121</v>
      </c>
      <c r="C35" s="10">
        <f>$D$20/(A35+$E$20)^$F$20</f>
        <v>2.0403316955444022</v>
      </c>
      <c r="D35" s="10">
        <f>$D$21/(A35+$E$21)^$F$21</f>
        <v>2.3500381795148142</v>
      </c>
      <c r="E35" s="10">
        <f>$D$22/(A35+$E$22)^$F$22</f>
        <v>2.7910960089136907</v>
      </c>
      <c r="F35" s="10">
        <f>$D$23/(A35+$E$23)^$F$23</f>
        <v>3.1500173084159031</v>
      </c>
      <c r="G35" s="10">
        <f>$D$24/(A35+$E$24)^$F$24</f>
        <v>3.5199906321615795</v>
      </c>
      <c r="H35" s="10">
        <f>$D$25/(A35+$E$25)^$F$25</f>
        <v>3.9201323057949646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"/>
      <c r="E37" s="1"/>
      <c r="F37" s="1"/>
      <c r="G37" s="1"/>
      <c r="H37" s="1"/>
    </row>
    <row r="38" spans="1:8" x14ac:dyDescent="0.25">
      <c r="A38" s="1"/>
      <c r="B38" s="168" t="s">
        <v>19</v>
      </c>
      <c r="C38" s="284" t="s">
        <v>31</v>
      </c>
      <c r="D38" s="12"/>
      <c r="E38" s="10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16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8.7735633399940109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10.616233802383524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12.223388376297935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14.59712274097676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16.51353818018206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18.578252320463285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20.789008615940354</v>
      </c>
      <c r="D46" s="1"/>
      <c r="E46" s="1"/>
      <c r="F46" s="1"/>
      <c r="G46" s="1"/>
      <c r="H46" s="1"/>
    </row>
  </sheetData>
  <sheetProtection algorithmName="SHA-512" hashValue="/zIiDtNHChKrHTLbRNZTbh4nLSqrpiUQVuEBzFEVuNUqFIA2qpZ+lySooYR4i9egXeHhByIEO1l5W6OoUVqyqQ==" saltValue="9XljGyl1Kf49WPjehSMZmQ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:I46"/>
  <sheetViews>
    <sheetView zoomScaleNormal="100" workbookViewId="0">
      <selection activeCell="H10" sqref="H10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8" width="10.7109375" style="2" customWidth="1"/>
    <col min="9" max="16384" width="9.28515625" style="2"/>
  </cols>
  <sheetData>
    <row r="1" spans="1:9" ht="19.5" x14ac:dyDescent="0.3">
      <c r="A1" s="1"/>
      <c r="B1" s="1"/>
      <c r="C1" s="575" t="s">
        <v>119</v>
      </c>
      <c r="D1" s="575"/>
      <c r="E1" s="575"/>
      <c r="F1" s="575"/>
      <c r="G1" s="168"/>
      <c r="H1" s="168"/>
      <c r="I1" s="1"/>
    </row>
    <row r="2" spans="1:9" x14ac:dyDescent="0.25">
      <c r="A2" s="1"/>
      <c r="B2" s="1"/>
      <c r="C2" s="1"/>
      <c r="D2" s="26"/>
      <c r="E2" s="6"/>
      <c r="F2" s="1"/>
      <c r="G2" s="1"/>
      <c r="H2" s="1"/>
      <c r="I2" s="1"/>
    </row>
    <row r="3" spans="1:9" x14ac:dyDescent="0.25">
      <c r="A3" s="1" t="s">
        <v>0</v>
      </c>
      <c r="B3" s="275" t="s">
        <v>483</v>
      </c>
      <c r="C3" s="160"/>
      <c r="D3" s="1"/>
      <c r="E3" s="1"/>
      <c r="F3" s="11" t="s">
        <v>117</v>
      </c>
      <c r="G3" s="286">
        <v>34.03</v>
      </c>
      <c r="H3" s="33" t="s">
        <v>12</v>
      </c>
    </row>
    <row r="4" spans="1:9" x14ac:dyDescent="0.25">
      <c r="A4" s="1" t="s">
        <v>4</v>
      </c>
      <c r="B4" s="275" t="s">
        <v>92</v>
      </c>
      <c r="C4" s="160"/>
      <c r="D4" s="1"/>
      <c r="E4" s="1"/>
      <c r="F4" s="11" t="s">
        <v>116</v>
      </c>
      <c r="G4" s="287">
        <v>0.3</v>
      </c>
      <c r="H4" s="1"/>
    </row>
    <row r="5" spans="1:9" ht="15" customHeight="1" x14ac:dyDescent="0.25">
      <c r="A5" s="173" t="s">
        <v>118</v>
      </c>
      <c r="B5" s="276" t="s">
        <v>90</v>
      </c>
      <c r="C5" s="172"/>
      <c r="D5" s="173"/>
      <c r="E5" s="173"/>
      <c r="F5" s="174" t="s">
        <v>115</v>
      </c>
      <c r="G5" s="288">
        <v>9.83</v>
      </c>
      <c r="H5" s="175" t="s">
        <v>13</v>
      </c>
    </row>
    <row r="6" spans="1:9" x14ac:dyDescent="0.25">
      <c r="A6" s="1" t="s">
        <v>164</v>
      </c>
      <c r="B6" s="117" t="s">
        <v>91</v>
      </c>
      <c r="C6" s="123"/>
      <c r="E6" s="1"/>
      <c r="F6" s="1"/>
      <c r="G6" s="1"/>
      <c r="H6" s="1"/>
      <c r="I6" s="1"/>
    </row>
    <row r="7" spans="1:9" x14ac:dyDescent="0.25">
      <c r="A7" s="1" t="s">
        <v>10</v>
      </c>
      <c r="B7" s="275" t="s">
        <v>54</v>
      </c>
      <c r="C7" s="160"/>
      <c r="E7" s="1"/>
      <c r="F7" s="1"/>
      <c r="G7" s="1"/>
      <c r="H7" s="1"/>
      <c r="I7" s="1"/>
    </row>
    <row r="8" spans="1:9" x14ac:dyDescent="0.25">
      <c r="A8" s="1" t="s">
        <v>121</v>
      </c>
      <c r="B8" s="291">
        <v>42822</v>
      </c>
      <c r="C8" s="172"/>
      <c r="E8" s="1"/>
      <c r="F8" s="1"/>
      <c r="G8" s="1"/>
      <c r="H8" s="1"/>
      <c r="I8" s="1"/>
    </row>
    <row r="9" spans="1:9" ht="15" customHeight="1" x14ac:dyDescent="0.25">
      <c r="A9" s="175" t="s">
        <v>122</v>
      </c>
      <c r="B9" s="117" t="s">
        <v>2</v>
      </c>
      <c r="C9" s="123"/>
      <c r="D9" s="184"/>
      <c r="E9" s="179"/>
      <c r="F9" s="178" t="s">
        <v>380</v>
      </c>
      <c r="G9" s="178" t="s">
        <v>381</v>
      </c>
      <c r="H9" s="178" t="s">
        <v>468</v>
      </c>
      <c r="I9" s="1"/>
    </row>
    <row r="10" spans="1:9" x14ac:dyDescent="0.25">
      <c r="A10" s="1" t="s">
        <v>173</v>
      </c>
      <c r="B10" s="275" t="s">
        <v>93</v>
      </c>
      <c r="C10" s="160"/>
      <c r="F10" s="119">
        <v>32.880499999999998</v>
      </c>
      <c r="G10" s="120">
        <v>85.337299999999999</v>
      </c>
      <c r="H10" s="119">
        <v>688</v>
      </c>
    </row>
    <row r="11" spans="1:9" x14ac:dyDescent="0.25">
      <c r="A11" s="26" t="s">
        <v>9</v>
      </c>
      <c r="B11" s="26"/>
      <c r="C11" s="35" t="s">
        <v>94</v>
      </c>
      <c r="D11" s="1"/>
      <c r="E11" s="1"/>
      <c r="F11" s="34">
        <v>32.659199999999998</v>
      </c>
      <c r="G11" s="45">
        <v>85.449200000000005</v>
      </c>
      <c r="H11" s="25">
        <v>640</v>
      </c>
      <c r="I11" s="1"/>
    </row>
    <row r="14" spans="1:9" x14ac:dyDescent="0.25">
      <c r="A14" s="1"/>
      <c r="B14" s="1"/>
      <c r="C14" s="1"/>
      <c r="D14" s="1"/>
      <c r="E14" s="1"/>
      <c r="F14" s="1"/>
      <c r="G14" s="1"/>
      <c r="H14" s="1"/>
    </row>
    <row r="15" spans="1:9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9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1"/>
    </row>
    <row r="19" spans="1:8" x14ac:dyDescent="0.25">
      <c r="A19" s="4"/>
      <c r="B19" s="6">
        <v>2</v>
      </c>
      <c r="C19" s="10">
        <f>G5</f>
        <v>9.83</v>
      </c>
      <c r="D19" s="29">
        <v>18.22</v>
      </c>
      <c r="E19" s="29">
        <v>1.91</v>
      </c>
      <c r="F19" s="105">
        <v>0.57631788481225432</v>
      </c>
      <c r="G19" s="22">
        <f>D19/(C19+E19)^F19</f>
        <v>4.4063553471605843</v>
      </c>
      <c r="H19" s="1"/>
    </row>
    <row r="20" spans="1:8" x14ac:dyDescent="0.25">
      <c r="A20" s="4"/>
      <c r="B20" s="6">
        <v>5</v>
      </c>
      <c r="C20" s="10">
        <f t="shared" ref="C20:C25" si="0">C19</f>
        <v>9.83</v>
      </c>
      <c r="D20" s="29">
        <v>22.61</v>
      </c>
      <c r="E20" s="29">
        <v>2.06</v>
      </c>
      <c r="F20" s="105">
        <v>0.58262900525638217</v>
      </c>
      <c r="G20" s="22">
        <f t="shared" ref="G20:G25" si="1">D20/(C20+E20)^F20</f>
        <v>5.3440243449324099</v>
      </c>
      <c r="H20" s="1"/>
    </row>
    <row r="21" spans="1:8" x14ac:dyDescent="0.25">
      <c r="A21" s="4"/>
      <c r="B21" s="6">
        <v>10</v>
      </c>
      <c r="C21" s="10">
        <f t="shared" si="0"/>
        <v>9.83</v>
      </c>
      <c r="D21" s="29">
        <v>26.22</v>
      </c>
      <c r="E21" s="29">
        <v>2.15</v>
      </c>
      <c r="F21" s="105">
        <v>0.58720471303979516</v>
      </c>
      <c r="G21" s="22">
        <f t="shared" si="1"/>
        <v>6.1003922543719931</v>
      </c>
      <c r="H21" s="1"/>
    </row>
    <row r="22" spans="1:8" x14ac:dyDescent="0.25">
      <c r="A22" s="1"/>
      <c r="B22" s="6">
        <v>25</v>
      </c>
      <c r="C22" s="10">
        <f t="shared" si="0"/>
        <v>9.83</v>
      </c>
      <c r="D22" s="29">
        <v>30.49</v>
      </c>
      <c r="E22" s="29">
        <v>2.13</v>
      </c>
      <c r="F22" s="105">
        <v>0.58617485166916872</v>
      </c>
      <c r="G22" s="22">
        <f t="shared" si="1"/>
        <v>7.1189920835430351</v>
      </c>
      <c r="H22" s="1"/>
    </row>
    <row r="23" spans="1:8" x14ac:dyDescent="0.25">
      <c r="A23" s="1"/>
      <c r="B23" s="6">
        <v>50</v>
      </c>
      <c r="C23" s="10">
        <f t="shared" si="0"/>
        <v>9.83</v>
      </c>
      <c r="D23" s="29">
        <v>33.47</v>
      </c>
      <c r="E23" s="29">
        <v>2.04</v>
      </c>
      <c r="F23" s="105">
        <v>0.58433591370894422</v>
      </c>
      <c r="G23" s="22">
        <f>D23/(C23+E23)^F23</f>
        <v>7.8852518642042222</v>
      </c>
      <c r="H23" s="1"/>
    </row>
    <row r="24" spans="1:8" x14ac:dyDescent="0.25">
      <c r="A24" s="1"/>
      <c r="B24" s="6">
        <v>100</v>
      </c>
      <c r="C24" s="10">
        <f t="shared" si="0"/>
        <v>9.83</v>
      </c>
      <c r="D24" s="29">
        <v>36.67</v>
      </c>
      <c r="E24" s="29">
        <v>2.09</v>
      </c>
      <c r="F24" s="105">
        <v>0.58323354325146237</v>
      </c>
      <c r="G24" s="22">
        <f t="shared" si="1"/>
        <v>8.641527095291206</v>
      </c>
      <c r="H24" s="1"/>
    </row>
    <row r="25" spans="1:8" x14ac:dyDescent="0.25">
      <c r="A25" s="1"/>
      <c r="B25" s="6">
        <v>200</v>
      </c>
      <c r="C25" s="10">
        <f t="shared" si="0"/>
        <v>9.83</v>
      </c>
      <c r="D25" s="10">
        <v>39.78</v>
      </c>
      <c r="E25" s="29">
        <v>2.1</v>
      </c>
      <c r="F25" s="105">
        <v>0.58249303632961658</v>
      </c>
      <c r="G25" s="22">
        <f t="shared" si="1"/>
        <v>9.3870518714614359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5.9805642445087042</v>
      </c>
      <c r="C31" s="10">
        <f>$D$20/(A31+$E$20)^$F$20</f>
        <v>7.2403960656612041</v>
      </c>
      <c r="D31" s="10">
        <f>$D$21/(A31+$E$21)^$F$21</f>
        <v>8.2600020143345141</v>
      </c>
      <c r="E31" s="10">
        <f>$D$22/(A31+$E$22)^$F$22</f>
        <v>9.64046085994819</v>
      </c>
      <c r="F31" s="10">
        <f>$D$23/(A31+$E$23)^$F$23</f>
        <v>10.700118026329791</v>
      </c>
      <c r="G31" s="10">
        <f>$D$24/(A31+$E$24)^$F$24</f>
        <v>11.699990043296385</v>
      </c>
      <c r="H31" s="10">
        <f>$D$25/(A31+$E$25)^$F$25</f>
        <v>12.700263117613915</v>
      </c>
    </row>
    <row r="32" spans="1:8" x14ac:dyDescent="0.25">
      <c r="A32" s="1">
        <v>10</v>
      </c>
      <c r="B32" s="10">
        <f>$D$19/(A32+$E$19)^$F$19</f>
        <v>4.369997434559572</v>
      </c>
      <c r="C32" s="10">
        <f>$D$20/(A32+$E$20)^$F$20</f>
        <v>5.3000047162685728</v>
      </c>
      <c r="D32" s="10">
        <f>$D$21/(A32+$E$21)^$F$21</f>
        <v>6.050125525385571</v>
      </c>
      <c r="E32" s="10">
        <f>$D$22/(A32+$E$22)^$F$22</f>
        <v>7.0603377989196616</v>
      </c>
      <c r="F32" s="10">
        <f>$D$23/(A32+$E$23)^$F$23</f>
        <v>7.8200016869014783</v>
      </c>
      <c r="G32" s="10">
        <f>$D$24/(A32+$E$24)^$F$24</f>
        <v>8.5704491635759261</v>
      </c>
      <c r="H32" s="10">
        <f>$D$25/(A32+$E$25)^$F$25</f>
        <v>9.3100034247469772</v>
      </c>
    </row>
    <row r="33" spans="1:8" x14ac:dyDescent="0.25">
      <c r="A33" s="1">
        <v>15</v>
      </c>
      <c r="B33" s="10">
        <f>$D$19/(A33+$E$19)^$F$19</f>
        <v>3.5706497066573752</v>
      </c>
      <c r="C33" s="10">
        <f>$D$20/(A33+$E$20)^$F$20</f>
        <v>4.3302587451423564</v>
      </c>
      <c r="D33" s="10">
        <f>$D$21/(A33+$E$21)^$F$21</f>
        <v>4.9415930369968519</v>
      </c>
      <c r="E33" s="10">
        <f>$D$22/(A33+$E$22)^$F$22</f>
        <v>5.7671319114905364</v>
      </c>
      <c r="F33" s="10">
        <f>$D$23/(A33+$E$23)^$F$23</f>
        <v>6.3835726305181799</v>
      </c>
      <c r="G33" s="10">
        <f>$D$24/(A33+$E$24)^$F$24</f>
        <v>7.0038105291902077</v>
      </c>
      <c r="H33" s="10">
        <f>$D$25/(A33+$E$25)^$F$25</f>
        <v>7.611199940197209</v>
      </c>
    </row>
    <row r="34" spans="1:8" x14ac:dyDescent="0.25">
      <c r="A34" s="1">
        <v>30</v>
      </c>
      <c r="B34" s="10">
        <f>$D$19/(A34+$E$19)^$F$19</f>
        <v>2.4763296515905231</v>
      </c>
      <c r="C34" s="10">
        <f>$D$20/(A34+$E$20)^$F$20</f>
        <v>2.998351441867928</v>
      </c>
      <c r="D34" s="10">
        <f>$D$21/(A34+$E$21)^$F$21</f>
        <v>3.4167162571614811</v>
      </c>
      <c r="E34" s="10">
        <f>$D$22/(A34+$E$22)^$F$22</f>
        <v>3.9888182972926063</v>
      </c>
      <c r="F34" s="10">
        <f>$D$23/(A34+$E$23)^$F$23</f>
        <v>4.4139306486267138</v>
      </c>
      <c r="G34" s="10">
        <f>$D$24/(A34+$E$24)^$F$24</f>
        <v>4.8500427027306099</v>
      </c>
      <c r="H34" s="10">
        <f>$D$25/(A34+$E$25)^$F$25</f>
        <v>5.273950972652016</v>
      </c>
    </row>
    <row r="35" spans="1:8" x14ac:dyDescent="0.25">
      <c r="A35" s="1">
        <v>60</v>
      </c>
      <c r="B35" s="10">
        <f>$D$19/(A35+$E$19)^$F$19</f>
        <v>1.6901473778745062</v>
      </c>
      <c r="C35" s="10">
        <f>$D$20/(A35+$E$20)^$F$20</f>
        <v>2.0405931453068233</v>
      </c>
      <c r="D35" s="10">
        <f>$D$21/(A35+$E$21)^$F$21</f>
        <v>2.3201475325993952</v>
      </c>
      <c r="E35" s="10">
        <f>$D$22/(A35+$E$22)^$F$22</f>
        <v>2.7099998660812945</v>
      </c>
      <c r="F35" s="10">
        <f>$D$23/(A35+$E$23)^$F$23</f>
        <v>3.0000825470831147</v>
      </c>
      <c r="G35" s="10">
        <f>$D$24/(A35+$E$24)^$F$24</f>
        <v>3.3003540670964528</v>
      </c>
      <c r="H35" s="10">
        <f>$D$25/(A35+$E$25)^$F$25</f>
        <v>3.5908842669903098</v>
      </c>
    </row>
    <row r="36" spans="1:8" x14ac:dyDescent="0.25">
      <c r="A36" s="1"/>
      <c r="B36" s="12"/>
      <c r="C36" s="12"/>
      <c r="D36" s="12"/>
      <c r="E36" s="12"/>
      <c r="F36" s="12"/>
      <c r="G36" s="12"/>
      <c r="H36" s="12"/>
    </row>
    <row r="37" spans="1:8" x14ac:dyDescent="0.25">
      <c r="A37" s="1"/>
      <c r="B37" s="168" t="s">
        <v>14</v>
      </c>
      <c r="C37" s="284" t="s">
        <v>30</v>
      </c>
      <c r="D37" s="12"/>
      <c r="E37" s="10"/>
      <c r="F37" s="12"/>
      <c r="G37" s="12"/>
      <c r="H37" s="12"/>
    </row>
    <row r="38" spans="1:8" x14ac:dyDescent="0.25">
      <c r="A38" s="6"/>
      <c r="B38" s="168" t="s">
        <v>19</v>
      </c>
      <c r="C38" s="284" t="s">
        <v>31</v>
      </c>
      <c r="D38" s="1"/>
      <c r="E38" s="6"/>
      <c r="F38" s="116"/>
      <c r="G38" s="1"/>
      <c r="H38" s="1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44.984481739162405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54.557144537414977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62.278904524883679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72.677790180890838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80.500536281660899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88.221350115827931</v>
      </c>
      <c r="D45" s="1"/>
      <c r="E45" s="1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95.832412555749798</v>
      </c>
      <c r="D46" s="1"/>
      <c r="E46" s="1"/>
      <c r="F46" s="1"/>
      <c r="G46" s="1"/>
      <c r="H46" s="1"/>
    </row>
  </sheetData>
  <sheetProtection algorithmName="SHA-512" hashValue="aLzuSrr7ND2QF68s6pAB07vjiGe/dHawhZIC0npjFtUL3YSd3Rb1Yo9FFRkPUBZu9P8JzpMVYK5FimHfk74ysw==" saltValue="jLEyFuIB3uvzrlq6e/Eg5w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H46"/>
  <sheetViews>
    <sheetView zoomScaleNormal="100" workbookViewId="0">
      <selection activeCell="H10" sqref="H10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8" width="10.7109375" style="2" customWidth="1"/>
    <col min="9" max="16384" width="9.28515625" style="2"/>
  </cols>
  <sheetData>
    <row r="1" spans="1:8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  <c r="E2" s="3"/>
    </row>
    <row r="3" spans="1:8" x14ac:dyDescent="0.25">
      <c r="A3" s="1" t="s">
        <v>0</v>
      </c>
      <c r="B3" s="117"/>
      <c r="C3" s="123"/>
      <c r="D3" s="1"/>
      <c r="E3" s="1"/>
      <c r="F3" s="11" t="s">
        <v>117</v>
      </c>
      <c r="G3" s="286">
        <v>95.08</v>
      </c>
      <c r="H3" s="33" t="s">
        <v>12</v>
      </c>
    </row>
    <row r="4" spans="1:8" x14ac:dyDescent="0.25">
      <c r="A4" s="1" t="s">
        <v>4</v>
      </c>
      <c r="B4" s="275" t="s">
        <v>97</v>
      </c>
      <c r="C4" s="160"/>
      <c r="D4" s="1"/>
      <c r="E4" s="1"/>
      <c r="F4" s="11" t="s">
        <v>116</v>
      </c>
      <c r="G4" s="287">
        <v>0.38</v>
      </c>
      <c r="H4" s="1"/>
    </row>
    <row r="5" spans="1:8" ht="15" customHeight="1" x14ac:dyDescent="0.25">
      <c r="A5" s="173" t="s">
        <v>118</v>
      </c>
      <c r="B5" s="276" t="s">
        <v>95</v>
      </c>
      <c r="C5" s="172"/>
      <c r="D5" s="173"/>
      <c r="E5" s="173"/>
      <c r="F5" s="174" t="s">
        <v>115</v>
      </c>
      <c r="G5" s="288">
        <v>21.7</v>
      </c>
      <c r="H5" s="175" t="s">
        <v>13</v>
      </c>
    </row>
    <row r="6" spans="1:8" x14ac:dyDescent="0.25">
      <c r="A6" s="1" t="s">
        <v>179</v>
      </c>
      <c r="B6" s="117" t="s">
        <v>96</v>
      </c>
      <c r="C6" s="123"/>
    </row>
    <row r="7" spans="1:8" x14ac:dyDescent="0.25">
      <c r="A7" s="1" t="s">
        <v>10</v>
      </c>
      <c r="B7" s="275" t="s">
        <v>54</v>
      </c>
      <c r="C7" s="160"/>
    </row>
    <row r="8" spans="1:8" x14ac:dyDescent="0.25">
      <c r="A8" s="1" t="s">
        <v>121</v>
      </c>
      <c r="B8" s="291">
        <v>38786</v>
      </c>
      <c r="C8" s="172"/>
    </row>
    <row r="9" spans="1:8" ht="15" customHeight="1" x14ac:dyDescent="0.25">
      <c r="A9" s="173" t="s">
        <v>122</v>
      </c>
      <c r="B9" s="275" t="s">
        <v>2</v>
      </c>
      <c r="C9" s="160"/>
      <c r="D9" s="184"/>
      <c r="E9" s="190"/>
      <c r="F9" s="178" t="s">
        <v>380</v>
      </c>
      <c r="G9" s="178" t="s">
        <v>381</v>
      </c>
      <c r="H9" s="178" t="s">
        <v>476</v>
      </c>
    </row>
    <row r="10" spans="1:8" x14ac:dyDescent="0.25">
      <c r="A10" s="1" t="s">
        <v>173</v>
      </c>
      <c r="B10" s="276" t="s">
        <v>98</v>
      </c>
      <c r="C10" s="172"/>
      <c r="F10" s="119">
        <v>32.957599999999999</v>
      </c>
      <c r="G10" s="120">
        <v>86.732600000000005</v>
      </c>
      <c r="H10" s="119">
        <v>680</v>
      </c>
    </row>
    <row r="11" spans="1:8" x14ac:dyDescent="0.25">
      <c r="A11" s="26" t="s">
        <v>9</v>
      </c>
      <c r="B11" s="26"/>
      <c r="C11" s="35" t="s">
        <v>99</v>
      </c>
      <c r="D11" s="1"/>
      <c r="E11" s="1"/>
      <c r="F11" s="34">
        <v>32.4833</v>
      </c>
      <c r="G11" s="45">
        <v>86.4833</v>
      </c>
      <c r="H11" s="25">
        <v>302</v>
      </c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256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1"/>
    </row>
    <row r="19" spans="1:8" x14ac:dyDescent="0.25">
      <c r="A19" s="4"/>
      <c r="B19" s="6">
        <v>2</v>
      </c>
      <c r="C19" s="10">
        <f>G5</f>
        <v>21.7</v>
      </c>
      <c r="D19" s="29">
        <v>19.37</v>
      </c>
      <c r="E19" s="29">
        <v>2.13</v>
      </c>
      <c r="F19" s="110">
        <v>0.58486963151472537</v>
      </c>
      <c r="G19" s="22">
        <f>D19/(C19+E19)^F19</f>
        <v>3.0317374573696867</v>
      </c>
      <c r="H19" s="1"/>
    </row>
    <row r="20" spans="1:8" x14ac:dyDescent="0.25">
      <c r="A20" s="4"/>
      <c r="B20" s="6">
        <v>5</v>
      </c>
      <c r="C20" s="10">
        <f t="shared" ref="C20:C25" si="0">C19</f>
        <v>21.7</v>
      </c>
      <c r="D20" s="29">
        <v>23.79</v>
      </c>
      <c r="E20" s="29">
        <v>2.21</v>
      </c>
      <c r="F20" s="110">
        <v>0.5911344341247764</v>
      </c>
      <c r="G20" s="22">
        <f t="shared" ref="G20:G25" si="1">D20/(C20+E20)^F20</f>
        <v>3.643078961532578</v>
      </c>
      <c r="H20" s="1"/>
    </row>
    <row r="21" spans="1:8" x14ac:dyDescent="0.25">
      <c r="A21" s="1"/>
      <c r="B21" s="6">
        <v>10</v>
      </c>
      <c r="C21" s="10">
        <f t="shared" si="0"/>
        <v>21.7</v>
      </c>
      <c r="D21" s="29">
        <v>26.63</v>
      </c>
      <c r="E21" s="29">
        <v>2.14</v>
      </c>
      <c r="F21" s="110">
        <v>0.58575481618898317</v>
      </c>
      <c r="G21" s="22">
        <f t="shared" si="1"/>
        <v>4.1553479597081369</v>
      </c>
      <c r="H21" s="1"/>
    </row>
    <row r="22" spans="1:8" x14ac:dyDescent="0.25">
      <c r="A22" s="1"/>
      <c r="B22" s="6">
        <v>25</v>
      </c>
      <c r="C22" s="10">
        <f t="shared" si="0"/>
        <v>21.7</v>
      </c>
      <c r="D22" s="29">
        <v>29.95</v>
      </c>
      <c r="E22" s="29">
        <v>1.95</v>
      </c>
      <c r="F22" s="110">
        <v>0.575168634821839</v>
      </c>
      <c r="G22" s="22">
        <f t="shared" si="1"/>
        <v>4.855257217690955</v>
      </c>
      <c r="H22" s="1"/>
    </row>
    <row r="23" spans="1:8" x14ac:dyDescent="0.25">
      <c r="A23" s="1"/>
      <c r="B23" s="6">
        <v>50</v>
      </c>
      <c r="C23" s="10">
        <f t="shared" si="0"/>
        <v>21.7</v>
      </c>
      <c r="D23" s="29">
        <v>32.119999999999997</v>
      </c>
      <c r="E23" s="29">
        <v>1.76</v>
      </c>
      <c r="F23" s="110">
        <v>0.56548640632288605</v>
      </c>
      <c r="G23" s="22">
        <f>D23/(C23+E23)^F23</f>
        <v>5.3935371693673941</v>
      </c>
      <c r="H23" s="1"/>
    </row>
    <row r="24" spans="1:8" x14ac:dyDescent="0.25">
      <c r="A24" s="1"/>
      <c r="B24" s="6">
        <v>100</v>
      </c>
      <c r="C24" s="10">
        <f t="shared" si="0"/>
        <v>21.7</v>
      </c>
      <c r="D24" s="29">
        <v>35.03</v>
      </c>
      <c r="E24" s="29">
        <v>1.83</v>
      </c>
      <c r="F24" s="111">
        <v>0.56191708949968444</v>
      </c>
      <c r="G24" s="22">
        <f t="shared" si="1"/>
        <v>5.938849724392818</v>
      </c>
      <c r="H24" s="1"/>
    </row>
    <row r="25" spans="1:8" x14ac:dyDescent="0.25">
      <c r="A25" s="1"/>
      <c r="B25" s="6">
        <v>200</v>
      </c>
      <c r="C25" s="10">
        <f t="shared" si="0"/>
        <v>21.7</v>
      </c>
      <c r="D25" s="10">
        <v>35.79</v>
      </c>
      <c r="E25" s="29">
        <v>1.42</v>
      </c>
      <c r="F25" s="111">
        <v>0.54463114599245399</v>
      </c>
      <c r="G25" s="22">
        <f t="shared" si="1"/>
        <v>6.4698087590195508</v>
      </c>
      <c r="H25" s="1"/>
    </row>
    <row r="26" spans="1:8" x14ac:dyDescent="0.25">
      <c r="A26" s="1"/>
      <c r="B26" s="1"/>
      <c r="C26" s="6"/>
      <c r="D26" s="10"/>
      <c r="E26" s="106"/>
      <c r="F26" s="85"/>
      <c r="G26" s="84"/>
      <c r="H26" s="107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387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6.140213352747395</v>
      </c>
      <c r="C31" s="10">
        <f>$D$20/(A31+$E$20)^$F$20</f>
        <v>7.4001302666677535</v>
      </c>
      <c r="D31" s="10">
        <f>$D$21/(A31+$E$21)^$F$21</f>
        <v>8.4200239598134878</v>
      </c>
      <c r="E31" s="10">
        <f>$D$22/(A31+$E$22)^$F$22</f>
        <v>9.8200472204096521</v>
      </c>
      <c r="F31" s="10">
        <f>$D$23/(A31+$E$23)^$F$23</f>
        <v>10.900639122203325</v>
      </c>
      <c r="G31" s="10">
        <f>$D$24/(A31+$E$24)^$F$24</f>
        <v>11.900491105621377</v>
      </c>
      <c r="H31" s="10">
        <f>$D$25/(A31+$E$25)^$F$25</f>
        <v>13.000287914101058</v>
      </c>
    </row>
    <row r="32" spans="1:8" x14ac:dyDescent="0.25">
      <c r="A32" s="1">
        <v>10</v>
      </c>
      <c r="B32" s="10">
        <f>$D$19/(A32+$E$19)^$F$19</f>
        <v>4.4999983393173544</v>
      </c>
      <c r="C32" s="10">
        <f>$D$20/(A32+$E$20)^$F$20</f>
        <v>5.4200013283512209</v>
      </c>
      <c r="D32" s="10">
        <f>$D$21/(A32+$E$21)^$F$21</f>
        <v>6.1699955226258609</v>
      </c>
      <c r="E32" s="10">
        <f>$D$22/(A32+$E$22)^$F$22</f>
        <v>7.1899951833075111</v>
      </c>
      <c r="F32" s="10">
        <f>$D$23/(A32+$E$23)^$F$23</f>
        <v>7.9703014406560655</v>
      </c>
      <c r="G32" s="10">
        <f>$D$24/(A32+$E$24)^$F$24</f>
        <v>8.7400048279799254</v>
      </c>
      <c r="H32" s="10">
        <f>$D$25/(A32+$E$25)^$F$25</f>
        <v>9.5000041747904032</v>
      </c>
    </row>
    <row r="33" spans="1:8" x14ac:dyDescent="0.25">
      <c r="A33" s="1">
        <v>15</v>
      </c>
      <c r="B33" s="10">
        <f>$D$19/(A33+$E$19)^$F$19</f>
        <v>3.6774129953655659</v>
      </c>
      <c r="C33" s="10">
        <f>$D$20/(A33+$E$20)^$F$20</f>
        <v>4.4246794830748755</v>
      </c>
      <c r="D33" s="10">
        <f>$D$21/(A33+$E$21)^$F$21</f>
        <v>5.0413098018807796</v>
      </c>
      <c r="E33" s="10">
        <f>$D$22/(A33+$E$22)^$F$22</f>
        <v>5.8805367302491671</v>
      </c>
      <c r="F33" s="10">
        <f>$D$23/(A33+$E$23)^$F$23</f>
        <v>6.5232680389734741</v>
      </c>
      <c r="G33" s="10">
        <f>$D$24/(A33+$E$24)^$F$24</f>
        <v>7.1693951775428975</v>
      </c>
      <c r="H33" s="10">
        <f>$D$25/(A33+$E$25)^$F$25</f>
        <v>7.7952783141675006</v>
      </c>
    </row>
    <row r="34" spans="1:8" x14ac:dyDescent="0.25">
      <c r="A34" s="1">
        <v>30</v>
      </c>
      <c r="B34" s="10">
        <f>$D$19/(A34+$E$19)^$F$19</f>
        <v>2.5455597768514595</v>
      </c>
      <c r="C34" s="10">
        <f>$D$20/(A34+$E$20)^$F$20</f>
        <v>3.0547044547808655</v>
      </c>
      <c r="D34" s="10">
        <f>$D$21/(A34+$E$21)^$F$21</f>
        <v>3.4882836184173254</v>
      </c>
      <c r="E34" s="10">
        <f>$D$22/(A34+$E$22)^$F$22</f>
        <v>4.0838743790189866</v>
      </c>
      <c r="F34" s="10">
        <f>$D$23/(A34+$E$23)^$F$23</f>
        <v>4.5444625984080487</v>
      </c>
      <c r="G34" s="10">
        <f>$D$24/(A34+$E$24)^$F$24</f>
        <v>5.0115324564878554</v>
      </c>
      <c r="H34" s="10">
        <f>$D$25/(A34+$E$25)^$F$25</f>
        <v>5.4744006733480717</v>
      </c>
    </row>
    <row r="35" spans="1:8" x14ac:dyDescent="0.25">
      <c r="A35" s="1">
        <v>60</v>
      </c>
      <c r="B35" s="10">
        <f>$D$19/(A35+$E$19)^$F$19</f>
        <v>1.730940417523215</v>
      </c>
      <c r="C35" s="10">
        <f>$D$20/(A35+$E$20)^$F$20</f>
        <v>2.0700551071915281</v>
      </c>
      <c r="D35" s="10">
        <f>$D$21/(A35+$E$21)^$F$21</f>
        <v>2.3708021923383122</v>
      </c>
      <c r="E35" s="10">
        <f>$D$22/(A35+$E$22)^$F$22</f>
        <v>2.7904283301393509</v>
      </c>
      <c r="F35" s="10">
        <f>$D$23/(A35+$E$23)^$F$23</f>
        <v>3.1200022550866389</v>
      </c>
      <c r="G35" s="10">
        <f>$D$24/(A35+$E$24)^$F$24</f>
        <v>3.4509182400703766</v>
      </c>
      <c r="H35" s="10">
        <f>$D$25/(A35+$E$25)^$F$25</f>
        <v>3.800077694113817</v>
      </c>
    </row>
    <row r="36" spans="1:8" x14ac:dyDescent="0.25">
      <c r="A36" s="1"/>
      <c r="B36" s="12"/>
      <c r="C36" s="12"/>
      <c r="D36" s="12"/>
      <c r="E36" s="12"/>
      <c r="F36" s="12"/>
      <c r="G36" s="12"/>
      <c r="H36" s="12"/>
    </row>
    <row r="37" spans="1:8" x14ac:dyDescent="0.25">
      <c r="A37" s="1"/>
      <c r="B37" s="168" t="s">
        <v>14</v>
      </c>
      <c r="C37" s="284" t="s">
        <v>100</v>
      </c>
      <c r="D37" s="12"/>
      <c r="E37" s="10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 s="1"/>
      <c r="E38" s="6"/>
      <c r="F38" s="116"/>
      <c r="G38" s="1"/>
      <c r="H38" s="1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109.53788702974974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131.62590011175666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150.13438392343886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175.42238537806128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194.8706553441117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214.57301608220226</v>
      </c>
      <c r="D45" s="1"/>
      <c r="E45" s="1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233.75677838687997</v>
      </c>
      <c r="D46" s="1"/>
      <c r="E46" s="1"/>
      <c r="F46" s="1"/>
      <c r="G46" s="1"/>
      <c r="H46" s="1"/>
    </row>
  </sheetData>
  <sheetProtection algorithmName="SHA-512" hashValue="dN+eHeQ21dNK8tquwTpnuW7rR6q3vhDLpicxDUoYG+16qCHHoRAmuQ8Ff0jgCEaVYqdnea+hoEQIWUUVebX0Iw==" saltValue="Ww1rekMpwJgvwjNHnm3IsA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I46"/>
  <sheetViews>
    <sheetView zoomScaleNormal="100" workbookViewId="0">
      <selection activeCell="A12" sqref="A12"/>
    </sheetView>
  </sheetViews>
  <sheetFormatPr defaultColWidth="8.7109375" defaultRowHeight="15" x14ac:dyDescent="0.25"/>
  <cols>
    <col min="1" max="1" width="10.7109375" style="13" customWidth="1"/>
    <col min="2" max="2" width="11.85546875" style="13" customWidth="1"/>
    <col min="3" max="8" width="10.7109375" style="13" customWidth="1"/>
    <col min="9" max="16384" width="8.7109375" style="13"/>
  </cols>
  <sheetData>
    <row r="1" spans="1:9" ht="19.5" x14ac:dyDescent="0.3">
      <c r="A1"/>
      <c r="B1" s="168"/>
      <c r="C1" s="575" t="s">
        <v>119</v>
      </c>
      <c r="D1" s="575"/>
      <c r="E1" s="575"/>
      <c r="F1" s="575"/>
      <c r="G1" s="168"/>
      <c r="H1" s="168"/>
      <c r="I1" s="2"/>
    </row>
    <row r="2" spans="1:9" x14ac:dyDescent="0.25">
      <c r="A2" s="1"/>
      <c r="B2" s="2"/>
      <c r="C2" s="2"/>
      <c r="D2" s="3"/>
      <c r="E2" s="2"/>
      <c r="F2" s="2"/>
      <c r="G2" s="2"/>
      <c r="H2" s="2"/>
      <c r="I2" s="2"/>
    </row>
    <row r="3" spans="1:9" x14ac:dyDescent="0.25">
      <c r="A3" s="1" t="s">
        <v>0</v>
      </c>
      <c r="B3" s="117"/>
      <c r="C3" s="123"/>
      <c r="D3"/>
      <c r="E3"/>
      <c r="F3" s="11" t="s">
        <v>117</v>
      </c>
      <c r="G3" s="286">
        <v>19.53</v>
      </c>
      <c r="H3" s="33" t="s">
        <v>12</v>
      </c>
      <c r="I3" s="2"/>
    </row>
    <row r="4" spans="1:9" x14ac:dyDescent="0.25">
      <c r="A4" s="1" t="s">
        <v>4</v>
      </c>
      <c r="B4" s="275" t="s">
        <v>126</v>
      </c>
      <c r="C4" s="160"/>
      <c r="D4"/>
      <c r="E4"/>
      <c r="F4" s="11" t="s">
        <v>116</v>
      </c>
      <c r="G4" s="287">
        <v>0.55000000000000004</v>
      </c>
      <c r="H4" s="1"/>
      <c r="I4" s="2"/>
    </row>
    <row r="5" spans="1:9" ht="15" customHeight="1" x14ac:dyDescent="0.25">
      <c r="A5" s="173" t="s">
        <v>118</v>
      </c>
      <c r="B5" s="276" t="s">
        <v>127</v>
      </c>
      <c r="C5" s="172"/>
      <c r="D5" s="173"/>
      <c r="E5" s="217"/>
      <c r="F5" s="174" t="s">
        <v>115</v>
      </c>
      <c r="G5" s="288">
        <v>6.5</v>
      </c>
      <c r="H5" s="175" t="s">
        <v>13</v>
      </c>
      <c r="I5" s="2"/>
    </row>
    <row r="6" spans="1:9" x14ac:dyDescent="0.25">
      <c r="A6" s="1" t="s">
        <v>164</v>
      </c>
      <c r="B6" s="117" t="s">
        <v>484</v>
      </c>
      <c r="C6" s="123"/>
      <c r="D6" s="2"/>
      <c r="E6" s="2"/>
      <c r="I6" s="2"/>
    </row>
    <row r="7" spans="1:9" x14ac:dyDescent="0.25">
      <c r="A7" s="1" t="s">
        <v>10</v>
      </c>
      <c r="B7" s="275" t="s">
        <v>54</v>
      </c>
      <c r="C7" s="160"/>
      <c r="D7" s="2"/>
      <c r="E7" s="2"/>
      <c r="I7" s="2"/>
    </row>
    <row r="8" spans="1:9" x14ac:dyDescent="0.25">
      <c r="A8" s="1" t="s">
        <v>121</v>
      </c>
      <c r="B8" s="291">
        <v>42954</v>
      </c>
      <c r="C8" s="282"/>
      <c r="D8" s="2"/>
      <c r="E8" s="2"/>
      <c r="I8" s="2"/>
    </row>
    <row r="9" spans="1:9" ht="15" customHeight="1" x14ac:dyDescent="0.25">
      <c r="A9" s="173" t="s">
        <v>122</v>
      </c>
      <c r="B9" s="275" t="s">
        <v>2</v>
      </c>
      <c r="C9" s="160"/>
      <c r="D9" s="184"/>
      <c r="E9" s="190"/>
      <c r="F9" s="178" t="s">
        <v>380</v>
      </c>
      <c r="G9" s="178" t="s">
        <v>381</v>
      </c>
      <c r="H9" s="178" t="s">
        <v>468</v>
      </c>
      <c r="I9" s="2"/>
    </row>
    <row r="10" spans="1:9" x14ac:dyDescent="0.25">
      <c r="A10" s="1" t="s">
        <v>173</v>
      </c>
      <c r="B10" s="276" t="s">
        <v>125</v>
      </c>
      <c r="C10" s="172"/>
      <c r="E10" s="2"/>
      <c r="F10" s="119">
        <v>32.2727</v>
      </c>
      <c r="G10" s="120">
        <v>87.857600000000005</v>
      </c>
      <c r="H10" s="119">
        <v>121</v>
      </c>
      <c r="I10" s="2"/>
    </row>
    <row r="11" spans="1:9" x14ac:dyDescent="0.25">
      <c r="A11" s="26" t="s">
        <v>9</v>
      </c>
      <c r="B11" s="281"/>
      <c r="C11" s="35" t="s">
        <v>124</v>
      </c>
      <c r="D11"/>
      <c r="E11" s="1"/>
      <c r="F11" s="34">
        <v>31.917200000000001</v>
      </c>
      <c r="G11" s="45">
        <v>87.734700000000004</v>
      </c>
      <c r="H11" s="25">
        <v>390</v>
      </c>
    </row>
    <row r="12" spans="1:9" x14ac:dyDescent="0.25">
      <c r="E12" s="2"/>
      <c r="I12" s="2"/>
    </row>
    <row r="13" spans="1:9" x14ac:dyDescent="0.25">
      <c r="E13" s="2"/>
      <c r="I13" s="2"/>
    </row>
    <row r="14" spans="1:9" x14ac:dyDescent="0.25">
      <c r="A14"/>
      <c r="B14"/>
      <c r="C14"/>
      <c r="D14"/>
      <c r="E14"/>
      <c r="F14"/>
      <c r="G14"/>
      <c r="H14"/>
      <c r="I14" s="2"/>
    </row>
    <row r="15" spans="1:9" ht="18.75" x14ac:dyDescent="0.35">
      <c r="A15" s="1"/>
      <c r="B15" s="1"/>
      <c r="C15"/>
      <c r="D15" s="576" t="s">
        <v>456</v>
      </c>
      <c r="E15" s="576"/>
      <c r="F15" s="576"/>
      <c r="G15" s="1"/>
      <c r="H15" s="1"/>
      <c r="I15" s="2"/>
    </row>
    <row r="16" spans="1:9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  <c r="I16" s="2"/>
    </row>
    <row r="17" spans="1:9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  <c r="I17" s="2"/>
    </row>
    <row r="18" spans="1:9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1"/>
      <c r="I18" s="2"/>
    </row>
    <row r="19" spans="1:9" x14ac:dyDescent="0.25">
      <c r="A19" s="4"/>
      <c r="B19" s="6">
        <v>2</v>
      </c>
      <c r="C19" s="10">
        <f>G5</f>
        <v>6.5</v>
      </c>
      <c r="D19" s="29">
        <v>21.51</v>
      </c>
      <c r="E19" s="29">
        <v>2.11</v>
      </c>
      <c r="F19" s="105">
        <v>0.58261970856128831</v>
      </c>
      <c r="G19" s="22">
        <f t="shared" ref="G19:G25" si="0">D19/(C19+E19)^F19</f>
        <v>6.1360536304137145</v>
      </c>
      <c r="H19" s="1"/>
      <c r="I19" s="2"/>
    </row>
    <row r="20" spans="1:9" x14ac:dyDescent="0.25">
      <c r="A20" s="4"/>
      <c r="B20" s="6">
        <v>5</v>
      </c>
      <c r="C20" s="10">
        <f t="shared" ref="C20:C25" si="1">C19</f>
        <v>6.5</v>
      </c>
      <c r="D20" s="29">
        <v>25.1</v>
      </c>
      <c r="E20" s="29">
        <v>1.98</v>
      </c>
      <c r="F20" s="105">
        <v>0.5769792083845261</v>
      </c>
      <c r="G20" s="22">
        <f t="shared" si="0"/>
        <v>7.3115359140651348</v>
      </c>
      <c r="H20" s="1"/>
      <c r="I20" s="2"/>
    </row>
    <row r="21" spans="1:9" x14ac:dyDescent="0.25">
      <c r="A21" s="4"/>
      <c r="B21" s="6">
        <v>10</v>
      </c>
      <c r="C21" s="10">
        <f t="shared" si="1"/>
        <v>6.5</v>
      </c>
      <c r="D21" s="29">
        <v>27.39</v>
      </c>
      <c r="E21" s="29">
        <v>1.8</v>
      </c>
      <c r="F21" s="105">
        <v>0.56629686038888727</v>
      </c>
      <c r="G21" s="22">
        <f t="shared" si="0"/>
        <v>8.2626811513809315</v>
      </c>
      <c r="H21" s="1"/>
      <c r="I21" s="2"/>
    </row>
    <row r="22" spans="1:9" x14ac:dyDescent="0.25">
      <c r="A22" s="1"/>
      <c r="B22" s="6">
        <v>25</v>
      </c>
      <c r="C22" s="10">
        <f t="shared" si="1"/>
        <v>6.5</v>
      </c>
      <c r="D22" s="29">
        <v>29.69</v>
      </c>
      <c r="E22" s="29">
        <v>1.46</v>
      </c>
      <c r="F22" s="105">
        <v>0.54702779023287318</v>
      </c>
      <c r="G22" s="22">
        <f t="shared" si="0"/>
        <v>9.545214954021894</v>
      </c>
      <c r="H22" s="1"/>
      <c r="I22" s="2"/>
    </row>
    <row r="23" spans="1:9" x14ac:dyDescent="0.25">
      <c r="A23" s="1"/>
      <c r="B23" s="6">
        <v>50</v>
      </c>
      <c r="C23" s="10">
        <f t="shared" si="1"/>
        <v>6.5</v>
      </c>
      <c r="D23" s="29">
        <v>31.86</v>
      </c>
      <c r="E23" s="29">
        <v>1.46</v>
      </c>
      <c r="F23" s="105">
        <v>0.53695705918256376</v>
      </c>
      <c r="G23" s="22">
        <f t="shared" si="0"/>
        <v>10.459095778353577</v>
      </c>
      <c r="H23" s="1"/>
      <c r="I23" s="2"/>
    </row>
    <row r="24" spans="1:9" x14ac:dyDescent="0.25">
      <c r="A24" s="1"/>
      <c r="B24" s="6">
        <v>100</v>
      </c>
      <c r="C24" s="10">
        <f t="shared" si="1"/>
        <v>6.5</v>
      </c>
      <c r="D24" s="29">
        <v>32.44</v>
      </c>
      <c r="E24" s="29">
        <v>1.04</v>
      </c>
      <c r="F24" s="105">
        <v>0.51709564948839026</v>
      </c>
      <c r="G24" s="22">
        <f t="shared" si="0"/>
        <v>11.412898097810528</v>
      </c>
      <c r="H24" s="1"/>
      <c r="I24" s="2"/>
    </row>
    <row r="25" spans="1:9" x14ac:dyDescent="0.25">
      <c r="A25" s="1"/>
      <c r="B25" s="6">
        <v>200</v>
      </c>
      <c r="C25" s="10">
        <f t="shared" si="1"/>
        <v>6.5</v>
      </c>
      <c r="D25" s="10">
        <v>32.96</v>
      </c>
      <c r="E25" s="29">
        <v>0.74</v>
      </c>
      <c r="F25" s="105">
        <v>0.4982175836447193</v>
      </c>
      <c r="G25" s="22">
        <f t="shared" si="0"/>
        <v>12.292786304928208</v>
      </c>
      <c r="H25" s="1"/>
      <c r="I25" s="2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2"/>
    </row>
    <row r="27" spans="1:9" x14ac:dyDescent="0.25">
      <c r="A27" s="1"/>
      <c r="B27" s="1"/>
      <c r="C27"/>
      <c r="D27" s="577" t="s">
        <v>28</v>
      </c>
      <c r="E27" s="577"/>
      <c r="F27" s="577"/>
      <c r="G27" s="1"/>
      <c r="H27" s="1"/>
      <c r="I27" s="2"/>
    </row>
    <row r="28" spans="1:9" x14ac:dyDescent="0.25">
      <c r="A28" s="1"/>
      <c r="B28" s="1"/>
      <c r="C28" s="1"/>
      <c r="D28" s="1"/>
      <c r="E28" s="6" t="s">
        <v>120</v>
      </c>
      <c r="F28" s="1"/>
      <c r="G28" s="1"/>
      <c r="H28" s="1"/>
      <c r="I28" s="2"/>
    </row>
    <row r="29" spans="1:9" x14ac:dyDescent="0.25">
      <c r="A29" s="1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  <c r="I29" s="2"/>
    </row>
    <row r="30" spans="1:9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  <c r="I30" s="2"/>
    </row>
    <row r="31" spans="1:9" x14ac:dyDescent="0.25">
      <c r="A31" s="1">
        <v>5</v>
      </c>
      <c r="B31" s="10">
        <f>$D$19/(A31+$E$19)^$F$19</f>
        <v>6.8600043623299207</v>
      </c>
      <c r="C31" s="10">
        <f>$D$20/(A31+$E$20)^$F$20</f>
        <v>8.1806288180708275</v>
      </c>
      <c r="D31" s="10">
        <f>$D$21/(A31+$E$21)^$F$21</f>
        <v>9.2500663677253456</v>
      </c>
      <c r="E31" s="10">
        <f>$D$22/(A31+$E$22)^$F$22</f>
        <v>10.700165468230267</v>
      </c>
      <c r="F31" s="10">
        <f>$D$23/(A31+$E$23)^$F$23</f>
        <v>11.699995678845402</v>
      </c>
      <c r="G31" s="10">
        <f>$D$24/(A31+$E$24)^$F$24</f>
        <v>12.800002146835673</v>
      </c>
      <c r="H31" s="10">
        <f>$D$25/(A31+$E$25)^$F$25</f>
        <v>13.800154665595674</v>
      </c>
      <c r="I31" s="2"/>
    </row>
    <row r="32" spans="1:9" x14ac:dyDescent="0.25">
      <c r="A32" s="1">
        <v>10</v>
      </c>
      <c r="B32" s="10">
        <f>$D$19/(A32+$E$19)^$F$19</f>
        <v>5.0301308820855404</v>
      </c>
      <c r="C32" s="10">
        <f>$D$20/(A32+$E$20)^$F$20</f>
        <v>5.9899963854659051</v>
      </c>
      <c r="D32" s="10">
        <f>$D$21/(A32+$E$21)^$F$21</f>
        <v>6.7699991913312765</v>
      </c>
      <c r="E32" s="10">
        <f>$D$22/(A32+$E$22)^$F$22</f>
        <v>7.8200004268311725</v>
      </c>
      <c r="F32" s="10">
        <f>$D$23/(A32+$E$23)^$F$23</f>
        <v>8.6002111499638723</v>
      </c>
      <c r="G32" s="10">
        <f>$D$24/(A32+$E$24)^$F$24</f>
        <v>9.3705714209787274</v>
      </c>
      <c r="H32" s="10">
        <f>$D$25/(A32+$E$25)^$F$25</f>
        <v>10.10003180171306</v>
      </c>
      <c r="I32" s="2"/>
    </row>
    <row r="33" spans="1:9" x14ac:dyDescent="0.25">
      <c r="A33" s="1">
        <v>15</v>
      </c>
      <c r="B33" s="10">
        <f>$D$19/(A33+$E$19)^$F$19</f>
        <v>4.1126774438142482</v>
      </c>
      <c r="C33" s="10">
        <f>$D$20/(A33+$E$20)^$F$20</f>
        <v>4.8980729505982028</v>
      </c>
      <c r="D33" s="10">
        <f>$D$21/(A33+$E$21)^$F$21</f>
        <v>5.5424684933360764</v>
      </c>
      <c r="E33" s="10">
        <f>$D$22/(A33+$E$22)^$F$22</f>
        <v>6.4148909094977533</v>
      </c>
      <c r="F33" s="10">
        <f>$D$23/(A33+$E$23)^$F$23</f>
        <v>7.0806835736405951</v>
      </c>
      <c r="G33" s="10">
        <f>$D$24/(A33+$E$24)^$F$24</f>
        <v>7.7245806557762151</v>
      </c>
      <c r="H33" s="10">
        <f>$D$25/(A33+$E$25)^$F$25</f>
        <v>8.3486912399723199</v>
      </c>
      <c r="I33" s="2"/>
    </row>
    <row r="34" spans="1:9" x14ac:dyDescent="0.25">
      <c r="A34" s="1">
        <v>30</v>
      </c>
      <c r="B34" s="10">
        <f>$D$19/(A34+$E$19)^$F$19</f>
        <v>2.8499817215230183</v>
      </c>
      <c r="C34" s="10">
        <f>$D$20/(A34+$E$20)^$F$20</f>
        <v>3.3993050484452367</v>
      </c>
      <c r="D34" s="10">
        <f>$D$21/(A34+$E$21)^$F$21</f>
        <v>3.8616443290427704</v>
      </c>
      <c r="E34" s="10">
        <f>$D$22/(A34+$E$22)^$F$22</f>
        <v>4.5008501678744377</v>
      </c>
      <c r="F34" s="10">
        <f>$D$23/(A34+$E$23)^$F$23</f>
        <v>5.0005025689714238</v>
      </c>
      <c r="G34" s="10">
        <f>$D$24/(A34+$E$24)^$F$24</f>
        <v>5.4905344214542922</v>
      </c>
      <c r="H34" s="10">
        <f>$D$25/(A34+$E$25)^$F$25</f>
        <v>5.9811814695161303</v>
      </c>
      <c r="I34" s="2"/>
    </row>
    <row r="35" spans="1:9" x14ac:dyDescent="0.25">
      <c r="A35" s="1">
        <v>60</v>
      </c>
      <c r="B35" s="10">
        <f>$D$19/(A35+$E$19)^$F$19</f>
        <v>1.9404799636795558</v>
      </c>
      <c r="C35" s="10">
        <f>$D$20/(A35+$E$20)^$F$20</f>
        <v>2.3205013654063702</v>
      </c>
      <c r="D35" s="10">
        <f>$D$21/(A35+$E$21)^$F$21</f>
        <v>2.6507018538266607</v>
      </c>
      <c r="E35" s="10">
        <f>$D$22/(A35+$E$22)^$F$22</f>
        <v>3.1203288326193239</v>
      </c>
      <c r="F35" s="10">
        <f>$D$23/(A35+$E$23)^$F$23</f>
        <v>3.4901843962419941</v>
      </c>
      <c r="G35" s="10">
        <f>$D$24/(A35+$E$24)^$F$24</f>
        <v>3.8703241781534521</v>
      </c>
      <c r="H35" s="10">
        <f>$D$25/(A35+$E$25)^$F$25</f>
        <v>4.2601874029696845</v>
      </c>
      <c r="I35" s="2"/>
    </row>
    <row r="36" spans="1:9" x14ac:dyDescent="0.25">
      <c r="A36" s="1"/>
      <c r="B36" s="12"/>
      <c r="C36" s="12"/>
      <c r="D36" s="12"/>
      <c r="E36" s="12"/>
      <c r="F36" s="12"/>
      <c r="G36" s="12"/>
      <c r="H36" s="12"/>
      <c r="I36" s="2"/>
    </row>
    <row r="37" spans="1:9" x14ac:dyDescent="0.25">
      <c r="A37" s="1"/>
      <c r="B37" s="168" t="s">
        <v>14</v>
      </c>
      <c r="C37" s="284" t="s">
        <v>30</v>
      </c>
      <c r="D37" s="12"/>
      <c r="E37" s="10"/>
      <c r="F37" s="12"/>
      <c r="G37" s="12"/>
      <c r="H37" s="12"/>
      <c r="I37" s="2"/>
    </row>
    <row r="38" spans="1:9" x14ac:dyDescent="0.25">
      <c r="A38" s="1"/>
      <c r="B38" s="168" t="s">
        <v>19</v>
      </c>
      <c r="C38" s="284" t="s">
        <v>31</v>
      </c>
      <c r="D38" s="1"/>
      <c r="E38" s="6"/>
      <c r="F38" s="116"/>
      <c r="G38" s="1"/>
      <c r="H38" s="1"/>
      <c r="I38" s="2"/>
    </row>
    <row r="39" spans="1:9" ht="15" customHeight="1" x14ac:dyDescent="0.25">
      <c r="A39" s="1"/>
      <c r="B39" s="176" t="s">
        <v>25</v>
      </c>
      <c r="C39" s="176" t="s">
        <v>386</v>
      </c>
      <c r="D39" s="1"/>
      <c r="E39" s="6"/>
      <c r="F39" s="1"/>
      <c r="G39" s="1"/>
      <c r="H39" s="1"/>
      <c r="I39" s="2"/>
    </row>
    <row r="40" spans="1:9" x14ac:dyDescent="0.25">
      <c r="A40" s="1"/>
      <c r="B40" s="168">
        <v>2</v>
      </c>
      <c r="C40" s="169">
        <f t="shared" ref="C40:C46" si="2">$G$4*G19*$G$3</f>
        <v>65.910420071088922</v>
      </c>
      <c r="D40" s="1"/>
      <c r="E40" s="6"/>
      <c r="F40" s="1"/>
      <c r="G40" s="1"/>
      <c r="H40" s="1"/>
      <c r="I40" s="2"/>
    </row>
    <row r="41" spans="1:9" x14ac:dyDescent="0.25">
      <c r="A41" s="1"/>
      <c r="B41" s="168">
        <v>5</v>
      </c>
      <c r="C41" s="170">
        <f t="shared" si="2"/>
        <v>78.536863020930667</v>
      </c>
      <c r="D41" s="1"/>
      <c r="E41" s="6"/>
      <c r="F41" s="1"/>
      <c r="G41" s="1"/>
      <c r="H41" s="1"/>
      <c r="I41" s="2"/>
    </row>
    <row r="42" spans="1:9" x14ac:dyDescent="0.25">
      <c r="A42" s="1"/>
      <c r="B42" s="168">
        <v>10</v>
      </c>
      <c r="C42" s="170">
        <f t="shared" si="2"/>
        <v>88.753589587558281</v>
      </c>
      <c r="D42" s="1"/>
      <c r="E42" s="6"/>
      <c r="F42" s="1"/>
      <c r="G42" s="1"/>
      <c r="H42" s="1"/>
      <c r="I42" s="2"/>
    </row>
    <row r="43" spans="1:9" x14ac:dyDescent="0.25">
      <c r="A43" s="1"/>
      <c r="B43" s="168">
        <v>25</v>
      </c>
      <c r="C43" s="170">
        <f t="shared" si="2"/>
        <v>102.52992642862618</v>
      </c>
      <c r="D43" s="1"/>
      <c r="E43" s="6"/>
      <c r="F43" s="1"/>
      <c r="G43" s="1"/>
      <c r="H43" s="1"/>
      <c r="I43" s="2"/>
    </row>
    <row r="44" spans="1:9" x14ac:dyDescent="0.25">
      <c r="A44" s="1"/>
      <c r="B44" s="168">
        <v>50</v>
      </c>
      <c r="C44" s="170">
        <f t="shared" si="2"/>
        <v>112.34637730318495</v>
      </c>
      <c r="D44" s="1"/>
      <c r="E44" s="6"/>
      <c r="F44" s="1"/>
      <c r="G44" s="1"/>
      <c r="H44" s="1"/>
      <c r="I44" s="2"/>
    </row>
    <row r="45" spans="1:9" x14ac:dyDescent="0.25">
      <c r="A45" s="1"/>
      <c r="B45" s="168">
        <v>100</v>
      </c>
      <c r="C45" s="170">
        <f t="shared" si="2"/>
        <v>122.5916449176318</v>
      </c>
      <c r="D45" s="1"/>
      <c r="E45" s="1"/>
      <c r="F45" s="1"/>
      <c r="G45" s="1"/>
      <c r="H45" s="1"/>
      <c r="I45" s="2"/>
    </row>
    <row r="46" spans="1:9" x14ac:dyDescent="0.25">
      <c r="A46" s="1"/>
      <c r="B46" s="168">
        <v>200</v>
      </c>
      <c r="C46" s="170">
        <f t="shared" si="2"/>
        <v>132.04296409438638</v>
      </c>
      <c r="D46" s="1"/>
      <c r="E46" s="1"/>
      <c r="F46" s="1"/>
      <c r="G46" s="1"/>
      <c r="H46" s="1"/>
    </row>
  </sheetData>
  <sheetProtection algorithmName="SHA-512" hashValue="riRGmC3PxR9dUMqWU+JiYbHgMI+jWwwvwBaHiStJXHVTCQZVst6dmCcp81uF4hErWOPlSaqBkvUZoSO2aDa2xA==" saltValue="G309jT/DTOHMzJsdTg50Fw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/>
  <dimension ref="A1:I46"/>
  <sheetViews>
    <sheetView zoomScaleNormal="100" workbookViewId="0">
      <selection activeCell="C10" sqref="C10"/>
    </sheetView>
  </sheetViews>
  <sheetFormatPr defaultColWidth="9.28515625" defaultRowHeight="15" x14ac:dyDescent="0.25"/>
  <cols>
    <col min="1" max="1" width="10.7109375" style="2" customWidth="1"/>
    <col min="2" max="2" width="11.42578125" style="2" customWidth="1"/>
    <col min="3" max="8" width="10.7109375" style="2" customWidth="1"/>
    <col min="9" max="16384" width="9.28515625" style="2"/>
  </cols>
  <sheetData>
    <row r="1" spans="1:9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  <c r="I1" s="1"/>
    </row>
    <row r="2" spans="1:9" x14ac:dyDescent="0.25">
      <c r="A2" s="1"/>
      <c r="B2" s="1"/>
      <c r="C2" s="1"/>
      <c r="D2" s="1"/>
      <c r="E2" s="26"/>
      <c r="F2" s="1"/>
      <c r="G2" s="1"/>
      <c r="H2" s="1"/>
      <c r="I2" s="1"/>
    </row>
    <row r="3" spans="1:9" x14ac:dyDescent="0.25">
      <c r="A3" s="33" t="s">
        <v>0</v>
      </c>
      <c r="B3" s="117"/>
      <c r="C3" s="277"/>
      <c r="D3" s="1"/>
      <c r="E3" s="1"/>
      <c r="F3" s="11" t="s">
        <v>117</v>
      </c>
      <c r="G3" s="287">
        <v>9.4</v>
      </c>
      <c r="H3" s="33" t="s">
        <v>12</v>
      </c>
    </row>
    <row r="4" spans="1:9" x14ac:dyDescent="0.25">
      <c r="A4" s="33" t="s">
        <v>4</v>
      </c>
      <c r="B4" s="275" t="s">
        <v>102</v>
      </c>
      <c r="C4" s="277"/>
      <c r="D4" s="1"/>
      <c r="E4" s="1"/>
      <c r="F4" s="11" t="s">
        <v>116</v>
      </c>
      <c r="G4" s="286">
        <v>0.35</v>
      </c>
      <c r="H4" s="1"/>
    </row>
    <row r="5" spans="1:9" ht="15" customHeight="1" x14ac:dyDescent="0.25">
      <c r="A5" s="175" t="s">
        <v>118</v>
      </c>
      <c r="B5" s="276" t="s">
        <v>101</v>
      </c>
      <c r="C5" s="276"/>
      <c r="D5" s="173"/>
      <c r="E5" s="173"/>
      <c r="F5" s="174" t="s">
        <v>115</v>
      </c>
      <c r="G5" s="297">
        <v>6.23</v>
      </c>
      <c r="H5" s="175" t="s">
        <v>13</v>
      </c>
    </row>
    <row r="6" spans="1:9" x14ac:dyDescent="0.25">
      <c r="A6" s="33" t="s">
        <v>164</v>
      </c>
      <c r="B6" s="117" t="s">
        <v>487</v>
      </c>
      <c r="C6" s="117"/>
      <c r="D6" s="1"/>
      <c r="E6" s="1"/>
      <c r="F6" s="1"/>
      <c r="G6" s="1"/>
      <c r="H6" s="1"/>
    </row>
    <row r="7" spans="1:9" x14ac:dyDescent="0.25">
      <c r="A7" s="33" t="s">
        <v>10</v>
      </c>
      <c r="B7" s="275" t="s">
        <v>106</v>
      </c>
      <c r="C7" s="275"/>
      <c r="D7" s="1"/>
      <c r="E7" s="1"/>
      <c r="F7" s="1"/>
      <c r="G7" s="1"/>
      <c r="H7" s="1"/>
    </row>
    <row r="8" spans="1:9" x14ac:dyDescent="0.25">
      <c r="A8" s="33" t="s">
        <v>121</v>
      </c>
      <c r="B8" s="277">
        <v>42822</v>
      </c>
      <c r="C8" s="277"/>
      <c r="D8" s="1"/>
      <c r="E8" s="1"/>
      <c r="F8" s="1"/>
      <c r="G8" s="1"/>
      <c r="H8" s="1"/>
    </row>
    <row r="9" spans="1:9" ht="15" customHeight="1" x14ac:dyDescent="0.25">
      <c r="A9" s="175" t="s">
        <v>122</v>
      </c>
      <c r="B9" s="275" t="s">
        <v>2</v>
      </c>
      <c r="C9" s="275"/>
      <c r="D9" s="173"/>
      <c r="E9" s="179"/>
      <c r="F9" s="178" t="s">
        <v>380</v>
      </c>
      <c r="G9" s="178" t="s">
        <v>381</v>
      </c>
      <c r="H9" s="178" t="s">
        <v>468</v>
      </c>
    </row>
    <row r="10" spans="1:9" x14ac:dyDescent="0.25">
      <c r="A10" s="33" t="s">
        <v>173</v>
      </c>
      <c r="B10" s="276" t="s">
        <v>103</v>
      </c>
      <c r="C10" s="276"/>
      <c r="F10" s="124">
        <v>31.826699999999999</v>
      </c>
      <c r="G10" s="124">
        <v>85.809899999999999</v>
      </c>
      <c r="H10" s="124">
        <v>420</v>
      </c>
    </row>
    <row r="11" spans="1:9" x14ac:dyDescent="0.25">
      <c r="A11" s="125" t="s">
        <v>9</v>
      </c>
      <c r="B11" s="125"/>
      <c r="C11" s="35" t="s">
        <v>104</v>
      </c>
      <c r="D11" s="1"/>
      <c r="E11" s="1"/>
      <c r="F11" s="34">
        <v>31.807500000000001</v>
      </c>
      <c r="G11" s="45">
        <v>85.972200000000001</v>
      </c>
      <c r="H11" s="25">
        <v>542</v>
      </c>
    </row>
    <row r="14" spans="1:9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9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9" ht="15" customHeight="1" x14ac:dyDescent="0.25">
      <c r="A16" s="1"/>
      <c r="B16" s="6" t="s">
        <v>14</v>
      </c>
      <c r="C16" s="6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</row>
    <row r="18" spans="1:8" x14ac:dyDescent="0.25">
      <c r="A18" s="1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1"/>
    </row>
    <row r="19" spans="1:8" x14ac:dyDescent="0.25">
      <c r="A19" s="7"/>
      <c r="B19" s="6">
        <v>2</v>
      </c>
      <c r="C19" s="10">
        <f>G5</f>
        <v>6.23</v>
      </c>
      <c r="D19" s="29">
        <v>20.03</v>
      </c>
      <c r="E19" s="43">
        <v>1.95</v>
      </c>
      <c r="F19" s="105">
        <v>0.57337339198788173</v>
      </c>
      <c r="G19" s="22">
        <f>D19/(C19+E19)^F19</f>
        <v>6.0025044613731353</v>
      </c>
      <c r="H19" s="1"/>
    </row>
    <row r="20" spans="1:8" x14ac:dyDescent="0.25">
      <c r="A20" s="7"/>
      <c r="B20" s="6">
        <v>5</v>
      </c>
      <c r="C20" s="10">
        <f t="shared" ref="C20:C25" si="0">C19</f>
        <v>6.23</v>
      </c>
      <c r="D20" s="29">
        <v>22.33</v>
      </c>
      <c r="E20" s="29">
        <v>1.59</v>
      </c>
      <c r="F20" s="105">
        <v>0.5537358652822969</v>
      </c>
      <c r="G20" s="22">
        <f t="shared" ref="G20:G25" si="1">D20/(C20+E20)^F20</f>
        <v>7.1497047662625386</v>
      </c>
      <c r="H20" s="1"/>
    </row>
    <row r="21" spans="1:8" x14ac:dyDescent="0.25">
      <c r="A21" s="6"/>
      <c r="B21" s="6">
        <v>10</v>
      </c>
      <c r="C21" s="10">
        <f t="shared" si="0"/>
        <v>6.23</v>
      </c>
      <c r="D21" s="29">
        <v>24.56</v>
      </c>
      <c r="E21" s="29">
        <v>1.47</v>
      </c>
      <c r="F21" s="105">
        <v>0.54423079668251184</v>
      </c>
      <c r="G21" s="22">
        <f t="shared" si="1"/>
        <v>8.086727500069216</v>
      </c>
      <c r="H21" s="1"/>
    </row>
    <row r="22" spans="1:8" x14ac:dyDescent="0.25">
      <c r="A22" s="1"/>
      <c r="B22" s="6">
        <v>25</v>
      </c>
      <c r="C22" s="10">
        <f t="shared" si="0"/>
        <v>6.23</v>
      </c>
      <c r="D22" s="29">
        <v>26.11</v>
      </c>
      <c r="E22" s="29">
        <v>1</v>
      </c>
      <c r="F22" s="105">
        <v>0.51910213608701172</v>
      </c>
      <c r="G22" s="22">
        <f t="shared" si="1"/>
        <v>9.3503172512891872</v>
      </c>
      <c r="H22" s="1"/>
    </row>
    <row r="23" spans="1:8" x14ac:dyDescent="0.25">
      <c r="A23" s="1"/>
      <c r="B23" s="6">
        <v>50</v>
      </c>
      <c r="C23" s="10">
        <f t="shared" si="0"/>
        <v>6.23</v>
      </c>
      <c r="D23" s="29">
        <v>27.84</v>
      </c>
      <c r="E23" s="29">
        <v>0.93</v>
      </c>
      <c r="F23" s="105">
        <v>0.50655006118189017</v>
      </c>
      <c r="G23" s="22">
        <f>D23/(C23+E23)^F23</f>
        <v>10.271006100808835</v>
      </c>
      <c r="H23" s="1"/>
    </row>
    <row r="24" spans="1:8" x14ac:dyDescent="0.25">
      <c r="A24" s="1"/>
      <c r="B24" s="6">
        <v>100</v>
      </c>
      <c r="C24" s="10">
        <f t="shared" si="0"/>
        <v>6.23</v>
      </c>
      <c r="D24" s="29">
        <v>28.98</v>
      </c>
      <c r="E24" s="29">
        <v>0.73</v>
      </c>
      <c r="F24" s="105">
        <v>0.49090829230229999</v>
      </c>
      <c r="G24" s="22">
        <f t="shared" si="1"/>
        <v>11.180327317785911</v>
      </c>
      <c r="H24" s="1"/>
    </row>
    <row r="25" spans="1:8" x14ac:dyDescent="0.25">
      <c r="A25" s="1"/>
      <c r="B25" s="6">
        <v>200</v>
      </c>
      <c r="C25" s="10">
        <f t="shared" si="0"/>
        <v>6.23</v>
      </c>
      <c r="D25" s="29">
        <v>29.23</v>
      </c>
      <c r="E25" s="29">
        <v>0.26</v>
      </c>
      <c r="F25" s="105">
        <v>0.46980692303832805</v>
      </c>
      <c r="G25" s="22">
        <f t="shared" si="1"/>
        <v>12.140333959752999</v>
      </c>
      <c r="H25" s="1"/>
    </row>
    <row r="26" spans="1:8" x14ac:dyDescent="0.25">
      <c r="A26" s="1"/>
      <c r="B26" s="1"/>
      <c r="C26" s="1"/>
      <c r="D26" s="1"/>
      <c r="E26" s="255"/>
      <c r="F26" s="255"/>
      <c r="G26" s="255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6.5903619302579903</v>
      </c>
      <c r="C31" s="10">
        <f>$D$20/(A31+$E$20)^$F$20</f>
        <v>7.8603611315580864</v>
      </c>
      <c r="D31" s="10">
        <f>$D$21/(A31+$E$21)^$F$21</f>
        <v>8.8901539109743819</v>
      </c>
      <c r="E31" s="10">
        <f>$D$22/(A31+$E$22)^$F$22</f>
        <v>10.300703716382401</v>
      </c>
      <c r="F31" s="10">
        <f>$D$23/(A31+$E$23)^$F$23</f>
        <v>11.299997013892318</v>
      </c>
      <c r="G31" s="10">
        <f>$D$24/(A31+$E$24)^$F$24</f>
        <v>12.300251469668943</v>
      </c>
      <c r="H31" s="10">
        <f>$D$25/(A31+$E$25)^$F$25</f>
        <v>13.39999762349132</v>
      </c>
    </row>
    <row r="32" spans="1:8" x14ac:dyDescent="0.25">
      <c r="A32" s="1">
        <v>10</v>
      </c>
      <c r="B32" s="10">
        <f>$D$19/(A32+$E$19)^$F$19</f>
        <v>4.8299969779640977</v>
      </c>
      <c r="C32" s="10">
        <f>$D$20/(A32+$E$20)^$F$20</f>
        <v>5.7499962430036637</v>
      </c>
      <c r="D32" s="10">
        <f>$D$21/(A32+$E$21)^$F$21</f>
        <v>6.510004959250181</v>
      </c>
      <c r="E32" s="10">
        <f>$D$22/(A32+$E$22)^$F$22</f>
        <v>7.5199976426812052</v>
      </c>
      <c r="F32" s="10">
        <f>$D$23/(A32+$E$23)^$F$23</f>
        <v>8.2900304233467299</v>
      </c>
      <c r="G32" s="10">
        <f>$D$24/(A32+$E$24)^$F$24</f>
        <v>9.0400000229439943</v>
      </c>
      <c r="H32" s="10">
        <f>$D$25/(A32+$E$25)^$F$25</f>
        <v>9.7900471867976968</v>
      </c>
    </row>
    <row r="33" spans="1:8" x14ac:dyDescent="0.25">
      <c r="A33" s="1">
        <v>15</v>
      </c>
      <c r="B33" s="10">
        <f>$D$19/(A33+$E$19)^$F$19</f>
        <v>3.9528264562305289</v>
      </c>
      <c r="C33" s="10">
        <f>$D$20/(A33+$E$20)^$F$20</f>
        <v>4.7142871160099684</v>
      </c>
      <c r="D33" s="10">
        <f>$D$21/(A33+$E$21)^$F$21</f>
        <v>5.3464589377637814</v>
      </c>
      <c r="E33" s="10">
        <f>$D$22/(A33+$E$22)^$F$22</f>
        <v>6.1907835043205202</v>
      </c>
      <c r="F33" s="10">
        <f>$D$23/(A33+$E$23)^$F$23</f>
        <v>6.8499398220242167</v>
      </c>
      <c r="G33" s="10">
        <f>$D$24/(A33+$E$24)^$F$24</f>
        <v>7.4922856617991567</v>
      </c>
      <c r="H33" s="10">
        <f>$D$25/(A33+$E$25)^$F$25</f>
        <v>8.1243140258940585</v>
      </c>
    </row>
    <row r="34" spans="1:8" x14ac:dyDescent="0.25">
      <c r="A34" s="1">
        <v>30</v>
      </c>
      <c r="B34" s="10">
        <f>$D$19/(A34+$E$19)^$F$19</f>
        <v>2.7482572841144668</v>
      </c>
      <c r="C34" s="10">
        <f>$D$20/(A34+$E$20)^$F$20</f>
        <v>3.3001548127486138</v>
      </c>
      <c r="D34" s="10">
        <f>$D$21/(A34+$E$21)^$F$21</f>
        <v>3.7586061905842185</v>
      </c>
      <c r="E34" s="10">
        <f>$D$22/(A34+$E$22)^$F$22</f>
        <v>4.391752233890454</v>
      </c>
      <c r="F34" s="10">
        <f>$D$23/(A34+$E$23)^$F$23</f>
        <v>4.8945998355834437</v>
      </c>
      <c r="G34" s="10">
        <f>$D$24/(A34+$E$24)^$F$24</f>
        <v>5.393138643239868</v>
      </c>
      <c r="H34" s="10">
        <f>$D$25/(A34+$E$25)^$F$25</f>
        <v>5.8898785936912645</v>
      </c>
    </row>
    <row r="35" spans="1:8" x14ac:dyDescent="0.25">
      <c r="A35" s="1">
        <v>60</v>
      </c>
      <c r="B35" s="10">
        <f>$D$19/(A35+$E$19)^$F$19</f>
        <v>1.8800618826107347</v>
      </c>
      <c r="C35" s="10">
        <f>$D$20/(A35+$E$20)^$F$20</f>
        <v>2.2801989522455961</v>
      </c>
      <c r="D35" s="10">
        <f>$D$21/(A35+$E$21)^$F$21</f>
        <v>2.6108550244854447</v>
      </c>
      <c r="E35" s="10">
        <f>$D$22/(A35+$E$22)^$F$22</f>
        <v>3.0905682653163824</v>
      </c>
      <c r="F35" s="10">
        <f>$D$23/(A35+$E$23)^$F$23</f>
        <v>3.471865469537299</v>
      </c>
      <c r="G35" s="10">
        <f>$D$24/(A35+$E$24)^$F$24</f>
        <v>3.8602099152387046</v>
      </c>
      <c r="H35" s="10">
        <f>$D$25/(A35+$E$25)^$F$25</f>
        <v>4.2614638446085689</v>
      </c>
    </row>
    <row r="36" spans="1:8" x14ac:dyDescent="0.25">
      <c r="A36" s="1"/>
      <c r="B36" s="12"/>
      <c r="C36" s="12"/>
      <c r="D36" s="12"/>
      <c r="E36" s="12"/>
      <c r="F36" s="12"/>
      <c r="G36" s="12"/>
      <c r="H36" s="12"/>
    </row>
    <row r="37" spans="1:8" x14ac:dyDescent="0.25">
      <c r="A37" s="1"/>
      <c r="B37" s="168" t="s">
        <v>14</v>
      </c>
      <c r="C37" s="284" t="s">
        <v>30</v>
      </c>
      <c r="D37" s="12"/>
      <c r="E37" s="10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 s="1"/>
      <c r="E38" s="6"/>
      <c r="F38" s="116"/>
      <c r="G38" s="1"/>
      <c r="H38" s="1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19.748239677917613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23.522528681003752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26.60533347522772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30.762543756741426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33.791610071661061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36.783276875515647</v>
      </c>
      <c r="D45" s="1"/>
      <c r="E45" s="1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39.941698727587365</v>
      </c>
      <c r="D46" s="1"/>
      <c r="E46" s="1"/>
      <c r="F46" s="1"/>
      <c r="G46" s="1"/>
      <c r="H46" s="1"/>
    </row>
  </sheetData>
  <sheetProtection algorithmName="SHA-512" hashValue="0/CwgzHoF2KSONTm0tKd+g3kJg+b+YLhrIfIu7xn7knegoDeSmTW+3Mi6Syb5DoD6gReXrBnsWaFHni9MGYEnw==" saltValue="Hd77umzrPExABeXr/KUvfw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1:J46"/>
  <sheetViews>
    <sheetView workbookViewId="0">
      <selection activeCell="B3" sqref="B3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7" width="10.7109375" style="2" customWidth="1"/>
    <col min="8" max="8" width="11.42578125" style="2" customWidth="1"/>
    <col min="9" max="16384" width="9.28515625" style="2"/>
  </cols>
  <sheetData>
    <row r="1" spans="1:10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  <c r="I1" s="1"/>
      <c r="J1" s="1"/>
    </row>
    <row r="2" spans="1:10" x14ac:dyDescent="0.25">
      <c r="A2" s="1"/>
      <c r="B2" s="1"/>
      <c r="C2" s="1"/>
      <c r="D2" s="1"/>
      <c r="E2" s="26"/>
      <c r="F2" s="1"/>
      <c r="G2" s="1"/>
      <c r="H2" s="1"/>
      <c r="I2" s="1"/>
      <c r="J2" s="1"/>
    </row>
    <row r="3" spans="1:10" x14ac:dyDescent="0.25">
      <c r="A3" s="11" t="s">
        <v>0</v>
      </c>
      <c r="B3" s="117" t="s">
        <v>498</v>
      </c>
      <c r="C3" s="117"/>
      <c r="D3" s="1"/>
      <c r="E3" s="1"/>
      <c r="F3" s="11" t="s">
        <v>117</v>
      </c>
      <c r="G3" s="123">
        <v>17.5</v>
      </c>
      <c r="H3" s="33" t="s">
        <v>12</v>
      </c>
    </row>
    <row r="4" spans="1:10" x14ac:dyDescent="0.25">
      <c r="A4" s="113" t="s">
        <v>4</v>
      </c>
      <c r="B4" s="275" t="s">
        <v>108</v>
      </c>
      <c r="C4" s="275"/>
      <c r="D4" s="1"/>
      <c r="E4" s="1"/>
      <c r="F4" s="11" t="s">
        <v>116</v>
      </c>
      <c r="G4" s="160">
        <v>0.48</v>
      </c>
      <c r="H4" s="1"/>
    </row>
    <row r="5" spans="1:10" ht="15" customHeight="1" x14ac:dyDescent="0.25">
      <c r="A5" s="164" t="s">
        <v>118</v>
      </c>
      <c r="B5" s="276" t="s">
        <v>107</v>
      </c>
      <c r="C5" s="276"/>
      <c r="D5" s="1"/>
      <c r="E5" s="1"/>
      <c r="F5" s="174" t="s">
        <v>115</v>
      </c>
      <c r="G5" s="172">
        <v>6.98</v>
      </c>
      <c r="H5" s="175" t="s">
        <v>13</v>
      </c>
    </row>
    <row r="6" spans="1:10" x14ac:dyDescent="0.25">
      <c r="A6" s="33" t="s">
        <v>164</v>
      </c>
      <c r="B6" s="117"/>
      <c r="C6" s="117"/>
      <c r="D6" s="1"/>
      <c r="E6" s="1"/>
      <c r="F6" s="1"/>
      <c r="G6" s="1"/>
      <c r="H6" s="1"/>
    </row>
    <row r="7" spans="1:10" x14ac:dyDescent="0.25">
      <c r="A7" s="113" t="s">
        <v>10</v>
      </c>
      <c r="B7" s="275" t="s">
        <v>54</v>
      </c>
      <c r="C7" s="275"/>
      <c r="D7" s="1"/>
      <c r="E7" s="1"/>
      <c r="F7" s="1"/>
      <c r="G7" s="1"/>
      <c r="H7" s="1"/>
    </row>
    <row r="8" spans="1:10" x14ac:dyDescent="0.25">
      <c r="A8" s="164" t="s">
        <v>121</v>
      </c>
      <c r="B8" s="277">
        <v>42640</v>
      </c>
      <c r="C8" s="277"/>
      <c r="D8" s="1"/>
      <c r="E8" s="1"/>
      <c r="F8" s="1"/>
      <c r="G8" s="1"/>
      <c r="H8" s="1"/>
    </row>
    <row r="9" spans="1:10" ht="15" customHeight="1" x14ac:dyDescent="0.25">
      <c r="A9" s="113" t="s">
        <v>122</v>
      </c>
      <c r="B9" s="275" t="s">
        <v>2</v>
      </c>
      <c r="C9" s="275"/>
      <c r="D9" s="184"/>
      <c r="E9" s="1"/>
      <c r="F9" s="178" t="s">
        <v>380</v>
      </c>
      <c r="G9" s="178" t="s">
        <v>381</v>
      </c>
      <c r="H9" s="178" t="s">
        <v>468</v>
      </c>
    </row>
    <row r="10" spans="1:10" x14ac:dyDescent="0.25">
      <c r="A10" s="164" t="s">
        <v>173</v>
      </c>
      <c r="B10" s="276" t="s">
        <v>109</v>
      </c>
      <c r="C10" s="276"/>
      <c r="F10" s="119">
        <v>33.532899999999998</v>
      </c>
      <c r="G10" s="120">
        <v>87.840699999999998</v>
      </c>
      <c r="H10" s="119"/>
    </row>
    <row r="11" spans="1:10" x14ac:dyDescent="0.25">
      <c r="A11" s="26" t="s">
        <v>9</v>
      </c>
      <c r="B11" s="26"/>
      <c r="C11" s="35" t="s">
        <v>110</v>
      </c>
      <c r="D11" s="1"/>
      <c r="E11" s="1"/>
      <c r="F11" s="34">
        <v>33.209699999999998</v>
      </c>
      <c r="G11" s="45">
        <v>87.593599999999995</v>
      </c>
      <c r="H11" s="25">
        <v>152</v>
      </c>
    </row>
    <row r="12" spans="1:10" x14ac:dyDescent="0.25">
      <c r="A12" s="1"/>
      <c r="B12" s="1"/>
      <c r="C12" s="1"/>
      <c r="D12" s="1"/>
      <c r="E12" s="1"/>
      <c r="F12" s="1"/>
      <c r="G12" s="1"/>
      <c r="H12" s="1"/>
    </row>
    <row r="13" spans="1:10" x14ac:dyDescent="0.25">
      <c r="A13" s="1"/>
      <c r="B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  <c r="I15" s="1"/>
    </row>
    <row r="16" spans="1:10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  <c r="I16" s="1"/>
    </row>
    <row r="17" spans="1:9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  <c r="I17" s="1"/>
    </row>
    <row r="18" spans="1:9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1"/>
      <c r="I18" s="1"/>
    </row>
    <row r="19" spans="1:9" x14ac:dyDescent="0.25">
      <c r="A19" s="4"/>
      <c r="B19" s="6">
        <v>2</v>
      </c>
      <c r="C19" s="10">
        <f>G5</f>
        <v>6.98</v>
      </c>
      <c r="D19" s="18">
        <v>16.52</v>
      </c>
      <c r="E19" s="18">
        <v>1.53</v>
      </c>
      <c r="F19" s="110">
        <v>0.55050456053902774</v>
      </c>
      <c r="G19" s="22">
        <f>D19/(C19+E19)^F19</f>
        <v>5.0825256512481918</v>
      </c>
      <c r="H19" s="1"/>
      <c r="I19" s="1"/>
    </row>
    <row r="20" spans="1:9" x14ac:dyDescent="0.25">
      <c r="A20" s="4"/>
      <c r="B20" s="6">
        <v>5</v>
      </c>
      <c r="C20" s="10">
        <f t="shared" ref="C20:C25" si="0">C19</f>
        <v>6.98</v>
      </c>
      <c r="D20" s="29">
        <v>20.350000000000001</v>
      </c>
      <c r="E20" s="29">
        <v>1.63</v>
      </c>
      <c r="F20" s="105">
        <v>0.55219258211858824</v>
      </c>
      <c r="G20" s="22">
        <f t="shared" ref="G20:G25" si="1">D20/(C20+E20)^F20</f>
        <v>6.1981575180849005</v>
      </c>
      <c r="H20" s="1"/>
      <c r="I20" s="1"/>
    </row>
    <row r="21" spans="1:9" x14ac:dyDescent="0.25">
      <c r="A21" s="4"/>
      <c r="B21" s="6">
        <v>10</v>
      </c>
      <c r="C21" s="10">
        <f t="shared" si="0"/>
        <v>6.98</v>
      </c>
      <c r="D21" s="29">
        <v>22.93</v>
      </c>
      <c r="E21" s="29">
        <v>1.52</v>
      </c>
      <c r="F21" s="105">
        <v>0.54781980332548241</v>
      </c>
      <c r="G21" s="22">
        <f t="shared" si="1"/>
        <v>7.0998628863546971</v>
      </c>
      <c r="H21" s="1"/>
      <c r="I21" s="1"/>
    </row>
    <row r="22" spans="1:9" x14ac:dyDescent="0.25">
      <c r="A22" s="1"/>
      <c r="B22" s="6">
        <v>25</v>
      </c>
      <c r="C22" s="10">
        <f t="shared" si="0"/>
        <v>6.98</v>
      </c>
      <c r="D22" s="46">
        <v>26.27</v>
      </c>
      <c r="E22" s="46">
        <v>1.4</v>
      </c>
      <c r="F22" s="105">
        <v>0.54285106600864153</v>
      </c>
      <c r="G22" s="22">
        <f t="shared" si="1"/>
        <v>8.2846863877297547</v>
      </c>
      <c r="H22" s="1"/>
      <c r="I22" s="1"/>
    </row>
    <row r="23" spans="1:9" x14ac:dyDescent="0.25">
      <c r="A23" s="1"/>
      <c r="B23" s="6">
        <v>50</v>
      </c>
      <c r="C23" s="10">
        <f t="shared" si="0"/>
        <v>6.98</v>
      </c>
      <c r="D23" s="29">
        <v>29.02</v>
      </c>
      <c r="E23" s="29">
        <v>1.42</v>
      </c>
      <c r="F23" s="105">
        <v>0.54159694457572782</v>
      </c>
      <c r="G23" s="22">
        <f>D23/(C23+E23)^F23</f>
        <v>9.1645378841887268</v>
      </c>
      <c r="H23" s="1"/>
      <c r="I23" s="1"/>
    </row>
    <row r="24" spans="1:9" x14ac:dyDescent="0.25">
      <c r="A24" s="1"/>
      <c r="B24" s="6">
        <v>100</v>
      </c>
      <c r="C24" s="10">
        <f t="shared" si="0"/>
        <v>6.98</v>
      </c>
      <c r="D24" s="29">
        <v>31.78</v>
      </c>
      <c r="E24" s="29">
        <v>1.42</v>
      </c>
      <c r="F24" s="105">
        <v>0.54199186178373693</v>
      </c>
      <c r="G24" s="22">
        <f t="shared" si="1"/>
        <v>10.027716374587071</v>
      </c>
      <c r="H24" s="1"/>
      <c r="I24" s="1"/>
    </row>
    <row r="25" spans="1:9" x14ac:dyDescent="0.25">
      <c r="A25" s="1"/>
      <c r="B25" s="6">
        <v>200</v>
      </c>
      <c r="C25" s="10">
        <f t="shared" si="0"/>
        <v>6.98</v>
      </c>
      <c r="D25" s="29">
        <v>34</v>
      </c>
      <c r="E25" s="29">
        <v>1.31</v>
      </c>
      <c r="F25" s="105">
        <v>0.53886568772733401</v>
      </c>
      <c r="G25" s="22">
        <f t="shared" si="1"/>
        <v>10.876806394410787</v>
      </c>
      <c r="H25" s="1"/>
      <c r="I25" s="1"/>
    </row>
    <row r="26" spans="1:9" x14ac:dyDescent="0.25">
      <c r="A26" s="1"/>
      <c r="B26" s="1"/>
      <c r="C26" s="1"/>
      <c r="D26" s="1"/>
      <c r="E26" s="255"/>
      <c r="F26" s="255"/>
      <c r="G26" s="255"/>
      <c r="H26" s="1"/>
      <c r="I26" s="1"/>
    </row>
    <row r="27" spans="1:9" x14ac:dyDescent="0.25">
      <c r="A27" s="1"/>
      <c r="B27" s="1"/>
      <c r="C27" s="1"/>
      <c r="D27" s="577" t="s">
        <v>28</v>
      </c>
      <c r="E27" s="577"/>
      <c r="F27" s="577"/>
      <c r="G27" s="1"/>
      <c r="H27" s="1"/>
      <c r="I27" s="1"/>
    </row>
    <row r="28" spans="1:9" x14ac:dyDescent="0.25">
      <c r="A28" s="1"/>
      <c r="B28" s="1"/>
      <c r="C28" s="1"/>
      <c r="D28" s="1"/>
      <c r="E28" s="6" t="s">
        <v>120</v>
      </c>
      <c r="F28" s="1"/>
      <c r="G28" s="1"/>
      <c r="H28" s="1"/>
      <c r="I28" s="1"/>
    </row>
    <row r="29" spans="1:9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  <c r="I29" s="1"/>
    </row>
    <row r="30" spans="1:9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  <c r="I30" s="1"/>
    </row>
    <row r="31" spans="1:9" x14ac:dyDescent="0.25">
      <c r="A31" s="11">
        <v>5</v>
      </c>
      <c r="B31" s="10">
        <f>$D$19/(A31+$E$19)^$F$19</f>
        <v>5.8802612334756139</v>
      </c>
      <c r="C31" s="10">
        <f>$D$20/(A31+$E$20)^$F$20</f>
        <v>7.1602920604816918</v>
      </c>
      <c r="D31" s="10">
        <f>$D$21/(A31+$E$21)^$F$21</f>
        <v>8.2099988630696465</v>
      </c>
      <c r="E31" s="10">
        <f>$D$22/(A31+$E$22)^$F$22</f>
        <v>9.5901282374016183</v>
      </c>
      <c r="F31" s="10">
        <f>$D$23/(A31+$E$23)^$F$23</f>
        <v>10.600806426754637</v>
      </c>
      <c r="G31" s="10">
        <f>$D$24/(A31+$E$24)^$F$24</f>
        <v>11.600493886877471</v>
      </c>
      <c r="H31" s="10">
        <f>$D$25/(A31+$E$25)^$F$25</f>
        <v>12.600000030566004</v>
      </c>
      <c r="I31" s="1"/>
    </row>
    <row r="32" spans="1:9" x14ac:dyDescent="0.25">
      <c r="A32" s="11">
        <v>10</v>
      </c>
      <c r="B32" s="10">
        <f>$D$19/(A32+$E$19)^$F$19</f>
        <v>4.2999971408066857</v>
      </c>
      <c r="C32" s="10">
        <f>$D$20/(A32+$E$20)^$F$20</f>
        <v>5.2499987431053068</v>
      </c>
      <c r="D32" s="10">
        <f>$D$21/(A32+$E$21)^$F$21</f>
        <v>6.010621304822747</v>
      </c>
      <c r="E32" s="10">
        <f>$D$22/(A32+$E$22)^$F$22</f>
        <v>7.0100020919171424</v>
      </c>
      <c r="F32" s="10">
        <f>$D$23/(A32+$E$23)^$F$23</f>
        <v>7.7601243016697117</v>
      </c>
      <c r="G32" s="10">
        <f>$D$24/(A32+$E$24)^$F$24</f>
        <v>8.4899957348853867</v>
      </c>
      <c r="H32" s="10">
        <f>$D$25/(A32+$E$25)^$F$25</f>
        <v>9.2003440013760294</v>
      </c>
      <c r="I32" s="1"/>
    </row>
    <row r="33" spans="1:9" x14ac:dyDescent="0.25">
      <c r="A33" s="11">
        <v>15</v>
      </c>
      <c r="B33" s="10">
        <f>$D$19/(A33+$E$19)^$F$19</f>
        <v>3.5265113107164696</v>
      </c>
      <c r="C33" s="10">
        <f>$D$20/(A33+$E$20)^$F$20</f>
        <v>4.3092011787936109</v>
      </c>
      <c r="D33" s="10">
        <f>$D$21/(A33+$E$21)^$F$21</f>
        <v>4.933487504180186</v>
      </c>
      <c r="E33" s="10">
        <f>$D$22/(A33+$E$22)^$F$22</f>
        <v>5.75414491073027</v>
      </c>
      <c r="F33" s="10">
        <f>$D$23/(A33+$E$23)^$F$23</f>
        <v>6.3746305837706077</v>
      </c>
      <c r="G33" s="10">
        <f>$D$24/(A33+$E$24)^$F$24</f>
        <v>6.9731905836728298</v>
      </c>
      <c r="H33" s="10">
        <f>$D$25/(A33+$E$25)^$F$25</f>
        <v>7.5531668689401226</v>
      </c>
      <c r="I33" s="1"/>
    </row>
    <row r="34" spans="1:9" x14ac:dyDescent="0.25">
      <c r="A34" s="11">
        <v>30</v>
      </c>
      <c r="B34" s="10">
        <f>$D$19/(A34+$E$19)^$F$19</f>
        <v>2.4714718151517054</v>
      </c>
      <c r="C34" s="10">
        <f>$D$20/(A34+$E$20)^$F$20</f>
        <v>3.0214872596042284</v>
      </c>
      <c r="D34" s="10">
        <f>$D$21/(A34+$E$21)^$F$21</f>
        <v>3.4629709832717821</v>
      </c>
      <c r="E34" s="10">
        <f>$D$22/(A34+$E$22)^$F$22</f>
        <v>4.0443638289363353</v>
      </c>
      <c r="F34" s="10">
        <f>$D$23/(A34+$E$23)^$F$23</f>
        <v>4.4855439388521727</v>
      </c>
      <c r="G34" s="10">
        <f>$D$24/(A34+$E$24)^$F$24</f>
        <v>4.9054666502911193</v>
      </c>
      <c r="H34" s="10">
        <f>$D$25/(A34+$E$25)^$F$25</f>
        <v>5.3150411613912727</v>
      </c>
      <c r="I34" s="1"/>
    </row>
    <row r="35" spans="1:9" x14ac:dyDescent="0.25">
      <c r="A35" s="11">
        <v>60</v>
      </c>
      <c r="B35" s="10">
        <f>$D$19/(A35+$E$19)^$F$19</f>
        <v>1.7104466666875122</v>
      </c>
      <c r="C35" s="10">
        <f>$D$20/(A35+$E$20)^$F$20</f>
        <v>2.0905206171315567</v>
      </c>
      <c r="D35" s="10">
        <f>$D$21/(A35+$E$21)^$F$21</f>
        <v>2.4007419563434111</v>
      </c>
      <c r="E35" s="10">
        <f>$D$22/(A35+$E$22)^$F$22</f>
        <v>2.8102888888749056</v>
      </c>
      <c r="F35" s="10">
        <f>$D$23/(A35+$E$23)^$F$23</f>
        <v>3.1199977290552376</v>
      </c>
      <c r="G35" s="10">
        <f>$D$24/(A35+$E$24)^$F$24</f>
        <v>3.4111791489144077</v>
      </c>
      <c r="H35" s="10">
        <f>$D$25/(A35+$E$25)^$F$25</f>
        <v>3.7003229139146687</v>
      </c>
      <c r="I35" s="1"/>
    </row>
    <row r="36" spans="1:9" x14ac:dyDescent="0.25">
      <c r="A36" s="1"/>
      <c r="B36" s="1"/>
      <c r="C36" s="1"/>
      <c r="D36" s="12"/>
      <c r="E36" s="12"/>
      <c r="F36" s="12"/>
      <c r="G36" s="12"/>
      <c r="H36" s="12"/>
      <c r="I36" s="1"/>
    </row>
    <row r="37" spans="1:9" x14ac:dyDescent="0.25">
      <c r="A37" s="1"/>
      <c r="B37" s="168" t="s">
        <v>14</v>
      </c>
      <c r="C37" s="284" t="s">
        <v>30</v>
      </c>
      <c r="D37" s="1"/>
      <c r="E37" s="10"/>
      <c r="F37" s="12"/>
      <c r="G37" s="12"/>
      <c r="H37" s="12"/>
      <c r="I37" s="1"/>
    </row>
    <row r="38" spans="1:9" x14ac:dyDescent="0.25">
      <c r="A38" s="1"/>
      <c r="B38" s="168" t="s">
        <v>19</v>
      </c>
      <c r="C38" s="284" t="s">
        <v>31</v>
      </c>
      <c r="D38" s="1"/>
      <c r="E38" s="10"/>
      <c r="F38" s="12"/>
      <c r="G38" s="12"/>
      <c r="H38" s="12"/>
      <c r="I38" s="1"/>
    </row>
    <row r="39" spans="1:9" ht="15" customHeight="1" x14ac:dyDescent="0.25">
      <c r="A39" s="1"/>
      <c r="B39" s="176" t="s">
        <v>25</v>
      </c>
      <c r="C39" s="176" t="s">
        <v>386</v>
      </c>
      <c r="D39" s="1"/>
      <c r="E39" s="6"/>
      <c r="F39" s="116"/>
      <c r="G39" s="1"/>
      <c r="H39" s="1"/>
      <c r="I39" s="1"/>
    </row>
    <row r="40" spans="1:9" x14ac:dyDescent="0.25">
      <c r="A40" s="1"/>
      <c r="B40" s="168">
        <v>2</v>
      </c>
      <c r="C40" s="169">
        <f t="shared" ref="C40:C46" si="2">$G$4*G19*$G$3</f>
        <v>42.693215470484809</v>
      </c>
      <c r="D40" s="1"/>
      <c r="E40" s="6"/>
      <c r="F40" s="1"/>
      <c r="G40" s="1"/>
      <c r="H40" s="1"/>
      <c r="I40" s="1"/>
    </row>
    <row r="41" spans="1:9" x14ac:dyDescent="0.25">
      <c r="A41" s="1"/>
      <c r="B41" s="168">
        <v>5</v>
      </c>
      <c r="C41" s="170">
        <f t="shared" si="2"/>
        <v>52.064523151913164</v>
      </c>
      <c r="D41" s="1"/>
      <c r="E41" s="6"/>
      <c r="F41" s="1"/>
      <c r="G41" s="1"/>
      <c r="H41" s="1"/>
      <c r="I41" s="1"/>
    </row>
    <row r="42" spans="1:9" x14ac:dyDescent="0.25">
      <c r="A42" s="1"/>
      <c r="B42" s="168">
        <v>10</v>
      </c>
      <c r="C42" s="170">
        <f t="shared" si="2"/>
        <v>59.63884824537945</v>
      </c>
      <c r="D42" s="1"/>
      <c r="E42" s="6"/>
      <c r="F42" s="1"/>
      <c r="G42" s="1"/>
      <c r="H42" s="1"/>
      <c r="I42" s="1"/>
    </row>
    <row r="43" spans="1:9" x14ac:dyDescent="0.25">
      <c r="A43" s="1"/>
      <c r="B43" s="168">
        <v>25</v>
      </c>
      <c r="C43" s="170">
        <f t="shared" si="2"/>
        <v>69.591365656929938</v>
      </c>
      <c r="D43" s="1"/>
      <c r="E43" s="6"/>
      <c r="F43" s="1"/>
      <c r="G43" s="1"/>
      <c r="H43" s="1"/>
      <c r="I43" s="1"/>
    </row>
    <row r="44" spans="1:9" x14ac:dyDescent="0.25">
      <c r="A44" s="1"/>
      <c r="B44" s="168">
        <v>50</v>
      </c>
      <c r="C44" s="170">
        <f t="shared" si="2"/>
        <v>76.982118227185296</v>
      </c>
      <c r="D44" s="1"/>
      <c r="E44" s="6"/>
      <c r="F44" s="1"/>
      <c r="G44" s="1"/>
      <c r="H44" s="1"/>
      <c r="I44" s="1"/>
    </row>
    <row r="45" spans="1:9" x14ac:dyDescent="0.25">
      <c r="A45" s="1"/>
      <c r="B45" s="168">
        <v>100</v>
      </c>
      <c r="C45" s="170">
        <f t="shared" si="2"/>
        <v>84.232817546531393</v>
      </c>
      <c r="D45" s="1"/>
      <c r="E45" s="6"/>
      <c r="F45" s="1"/>
      <c r="G45" s="1"/>
      <c r="H45" s="1"/>
      <c r="I45" s="1"/>
    </row>
    <row r="46" spans="1:9" x14ac:dyDescent="0.25">
      <c r="A46" s="1"/>
      <c r="B46" s="168">
        <v>200</v>
      </c>
      <c r="C46" s="170">
        <f t="shared" si="2"/>
        <v>91.365173713050609</v>
      </c>
      <c r="D46" s="1"/>
      <c r="E46" s="1"/>
      <c r="F46" s="1"/>
      <c r="G46" s="1"/>
      <c r="H46" s="1"/>
      <c r="I46" s="1"/>
    </row>
  </sheetData>
  <sheetProtection algorithmName="SHA-512" hashValue="x4cqofNHAXcAhlx2lMUH3I9pGlfL3nxgj8TclWlsFKQ7GHAisIIwB0o28PiKyxGMacNAJ+Y+J2FfJcE5apdWug==" saltValue="AA9OdBr9kXOAEryIKUUEIQ==" spinCount="100000" sheet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3C54-D0A2-43C3-B0F3-70C5E11C4F67}">
  <dimension ref="J33:S35"/>
  <sheetViews>
    <sheetView workbookViewId="0">
      <selection activeCell="L7" sqref="L7"/>
    </sheetView>
  </sheetViews>
  <sheetFormatPr defaultRowHeight="15" x14ac:dyDescent="0.25"/>
  <sheetData>
    <row r="33" spans="10:19" x14ac:dyDescent="0.25">
      <c r="S33" t="s">
        <v>579</v>
      </c>
    </row>
    <row r="34" spans="10:19" x14ac:dyDescent="0.25">
      <c r="S34" t="s">
        <v>580</v>
      </c>
    </row>
    <row r="35" spans="10:19" x14ac:dyDescent="0.25">
      <c r="J35" t="s">
        <v>581</v>
      </c>
      <c r="S35" t="s">
        <v>582</v>
      </c>
    </row>
  </sheetData>
  <sheetProtection algorithmName="SHA-512" hashValue="34D0GZppnJTccMx8lPqHp/rkgKAtxzKYphqgonZTCqHnIn5Au4MR2PKuTU7QGnbtqKtJ1LipsznFp5ANvD3ktQ==" saltValue="8l8DdvBXjuGe/bGT7MwSgA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Q44"/>
  <sheetViews>
    <sheetView topLeftCell="A10" zoomScaleNormal="100" workbookViewId="0">
      <selection activeCell="F30" sqref="F30"/>
    </sheetView>
  </sheetViews>
  <sheetFormatPr defaultRowHeight="15" x14ac:dyDescent="0.25"/>
  <cols>
    <col min="1" max="1" width="9.140625" style="13"/>
    <col min="2" max="2" width="18.85546875" style="13" customWidth="1"/>
    <col min="3" max="3" width="10" style="13" customWidth="1"/>
    <col min="4" max="4" width="9.5703125" style="13" customWidth="1"/>
    <col min="5" max="6" width="10.42578125" style="13" customWidth="1"/>
    <col min="7" max="8" width="9.140625" style="13"/>
    <col min="9" max="9" width="7.42578125" style="13" customWidth="1"/>
    <col min="10" max="10" width="9.140625" style="13"/>
    <col min="11" max="11" width="13.5703125" style="13" customWidth="1"/>
    <col min="12" max="12" width="10.140625" style="13" customWidth="1"/>
    <col min="13" max="13" width="10" style="13" customWidth="1"/>
    <col min="14" max="14" width="9.7109375" style="13" customWidth="1"/>
    <col min="15" max="15" width="11" style="13" bestFit="1" customWidth="1"/>
    <col min="16" max="16" width="9.5703125" style="13" customWidth="1"/>
    <col min="17" max="16384" width="9.140625" style="13"/>
  </cols>
  <sheetData>
    <row r="1" spans="1:17" ht="20.25" x14ac:dyDescent="0.35">
      <c r="A1"/>
      <c r="B1" s="551" t="s">
        <v>401</v>
      </c>
      <c r="C1" s="551"/>
      <c r="D1" s="551"/>
      <c r="E1" s="551"/>
      <c r="F1" s="551"/>
      <c r="G1" s="551"/>
      <c r="H1"/>
      <c r="I1"/>
      <c r="J1"/>
      <c r="K1" s="551" t="s">
        <v>401</v>
      </c>
      <c r="L1" s="551"/>
      <c r="M1" s="551"/>
      <c r="N1" s="551"/>
      <c r="O1" s="551"/>
      <c r="P1" s="551"/>
      <c r="Q1"/>
    </row>
    <row r="2" spans="1:17" ht="18" x14ac:dyDescent="0.25">
      <c r="A2"/>
      <c r="B2" s="36"/>
      <c r="C2" s="209" t="s">
        <v>218</v>
      </c>
      <c r="D2"/>
      <c r="E2"/>
      <c r="F2"/>
      <c r="G2"/>
      <c r="H2"/>
      <c r="I2"/>
      <c r="J2"/>
      <c r="K2"/>
      <c r="L2" s="209" t="s">
        <v>218</v>
      </c>
      <c r="M2"/>
      <c r="N2"/>
      <c r="O2"/>
      <c r="P2"/>
      <c r="Q2"/>
    </row>
    <row r="3" spans="1:17" ht="18" x14ac:dyDescent="0.25">
      <c r="A3"/>
      <c r="B3" s="36"/>
      <c r="C3" s="99" t="s">
        <v>180</v>
      </c>
      <c r="D3" s="220" t="s">
        <v>181</v>
      </c>
      <c r="E3" s="98" t="s">
        <v>26</v>
      </c>
      <c r="F3"/>
      <c r="G3"/>
      <c r="H3"/>
      <c r="I3"/>
      <c r="J3"/>
      <c r="K3"/>
      <c r="L3" s="99" t="s">
        <v>180</v>
      </c>
      <c r="M3" s="220" t="s">
        <v>181</v>
      </c>
      <c r="N3" s="98" t="s">
        <v>26</v>
      </c>
      <c r="O3"/>
      <c r="P3"/>
      <c r="Q3"/>
    </row>
    <row r="4" spans="1:17" x14ac:dyDescent="0.25">
      <c r="A4"/>
      <c r="B4" s="36"/>
      <c r="C4" s="53"/>
      <c r="D4" s="36"/>
      <c r="E4" s="36"/>
      <c r="F4" s="53"/>
      <c r="G4" s="273"/>
      <c r="H4"/>
      <c r="I4"/>
      <c r="J4"/>
      <c r="K4"/>
      <c r="L4"/>
      <c r="M4"/>
      <c r="N4"/>
      <c r="O4"/>
      <c r="P4"/>
      <c r="Q4"/>
    </row>
    <row r="5" spans="1:17" x14ac:dyDescent="0.25">
      <c r="A5" s="1" t="s">
        <v>469</v>
      </c>
      <c r="B5" s="278" t="s">
        <v>498</v>
      </c>
      <c r="C5" s="278"/>
      <c r="D5" s="278"/>
      <c r="J5" s="1" t="s">
        <v>469</v>
      </c>
      <c r="K5" s="33" t="str">
        <f t="shared" ref="K5:K11" si="0">B5</f>
        <v>Example 1</v>
      </c>
      <c r="L5"/>
      <c r="M5"/>
      <c r="N5"/>
    </row>
    <row r="6" spans="1:17" ht="16.5" x14ac:dyDescent="0.25">
      <c r="A6" s="173" t="s">
        <v>4</v>
      </c>
      <c r="B6" s="278" t="s">
        <v>108</v>
      </c>
      <c r="C6" s="278"/>
      <c r="E6" s="178" t="s">
        <v>6</v>
      </c>
      <c r="F6" s="178" t="s">
        <v>7</v>
      </c>
      <c r="G6" s="178" t="s">
        <v>468</v>
      </c>
      <c r="H6" s="217"/>
      <c r="I6" s="217"/>
      <c r="J6" s="173" t="s">
        <v>4</v>
      </c>
      <c r="K6" s="173" t="str">
        <f t="shared" si="0"/>
        <v>Fayette</v>
      </c>
      <c r="L6" s="217"/>
      <c r="M6"/>
      <c r="N6" s="178" t="s">
        <v>6</v>
      </c>
      <c r="O6" s="178" t="s">
        <v>7</v>
      </c>
      <c r="P6" s="178" t="s">
        <v>468</v>
      </c>
      <c r="Q6"/>
    </row>
    <row r="7" spans="1:17" x14ac:dyDescent="0.25">
      <c r="A7" s="1" t="s">
        <v>173</v>
      </c>
      <c r="B7" s="278" t="s">
        <v>109</v>
      </c>
      <c r="C7" s="278"/>
      <c r="D7" s="278"/>
      <c r="E7" s="120">
        <v>33.533099999999997</v>
      </c>
      <c r="F7" s="120">
        <v>87.8429</v>
      </c>
      <c r="G7" s="119">
        <v>353</v>
      </c>
      <c r="J7" s="1" t="s">
        <v>173</v>
      </c>
      <c r="K7" s="33" t="str">
        <f t="shared" si="0"/>
        <v>Newtonville</v>
      </c>
      <c r="L7"/>
      <c r="M7"/>
      <c r="N7" s="274">
        <f>E7</f>
        <v>33.533099999999997</v>
      </c>
      <c r="O7" s="274">
        <f>F7</f>
        <v>87.8429</v>
      </c>
      <c r="P7" s="215">
        <f>G7</f>
        <v>353</v>
      </c>
      <c r="Q7"/>
    </row>
    <row r="8" spans="1:17" x14ac:dyDescent="0.25">
      <c r="A8" s="1" t="s">
        <v>118</v>
      </c>
      <c r="B8" s="278" t="s">
        <v>499</v>
      </c>
      <c r="C8" s="278"/>
      <c r="J8" s="1" t="s">
        <v>118</v>
      </c>
      <c r="K8" s="1" t="str">
        <f t="shared" si="0"/>
        <v>Co. Rd. 12</v>
      </c>
      <c r="L8"/>
      <c r="M8"/>
      <c r="N8"/>
      <c r="O8"/>
      <c r="P8"/>
      <c r="Q8"/>
    </row>
    <row r="9" spans="1:17" x14ac:dyDescent="0.25">
      <c r="A9" s="1" t="s">
        <v>164</v>
      </c>
      <c r="B9" s="278" t="s">
        <v>553</v>
      </c>
      <c r="C9" s="278"/>
      <c r="D9" s="278"/>
      <c r="J9" s="1" t="s">
        <v>164</v>
      </c>
      <c r="K9" s="278"/>
      <c r="L9" s="278"/>
      <c r="M9" s="278"/>
      <c r="Q9" s="354"/>
    </row>
    <row r="10" spans="1:17" x14ac:dyDescent="0.25">
      <c r="A10" t="s">
        <v>184</v>
      </c>
      <c r="B10" s="279">
        <v>42640</v>
      </c>
      <c r="C10" s="278"/>
      <c r="E10"/>
      <c r="F10"/>
      <c r="G10"/>
      <c r="H10"/>
      <c r="J10" t="s">
        <v>184</v>
      </c>
      <c r="K10" s="321">
        <f t="shared" si="0"/>
        <v>42640</v>
      </c>
    </row>
    <row r="11" spans="1:17" ht="18.75" thickBot="1" x14ac:dyDescent="0.3">
      <c r="A11" s="175" t="s">
        <v>122</v>
      </c>
      <c r="B11" s="278" t="s">
        <v>2</v>
      </c>
      <c r="C11" s="278"/>
      <c r="E11" s="99" t="s">
        <v>219</v>
      </c>
      <c r="F11" s="235">
        <f>MAX(H31,H44,Q31,Q44,5)</f>
        <v>6.9746515136184968</v>
      </c>
      <c r="G11" s="217" t="s">
        <v>26</v>
      </c>
      <c r="H11" s="217"/>
      <c r="I11" s="185"/>
      <c r="J11" s="175" t="s">
        <v>122</v>
      </c>
      <c r="K11" s="1" t="str">
        <f t="shared" si="0"/>
        <v>dr</v>
      </c>
      <c r="L11" s="217"/>
      <c r="M11"/>
      <c r="N11" s="99" t="s">
        <v>219</v>
      </c>
      <c r="O11" s="235">
        <f>F11</f>
        <v>6.9746515136184968</v>
      </c>
      <c r="P11" s="217" t="s">
        <v>26</v>
      </c>
      <c r="Q11"/>
    </row>
    <row r="12" spans="1:17" ht="15.75" thickTop="1" x14ac:dyDescent="0.25">
      <c r="A12"/>
      <c r="E12"/>
      <c r="F12"/>
      <c r="G12"/>
      <c r="H12"/>
      <c r="J12"/>
      <c r="K12"/>
      <c r="L12"/>
      <c r="M12"/>
      <c r="N12"/>
      <c r="O12"/>
      <c r="P12"/>
      <c r="Q12"/>
    </row>
    <row r="13" spans="1:17" ht="18" x14ac:dyDescent="0.35">
      <c r="A13"/>
      <c r="B13" s="211"/>
      <c r="C13" s="450"/>
      <c r="D13" s="450" t="s">
        <v>470</v>
      </c>
      <c r="E13" s="450"/>
      <c r="F13" s="450"/>
      <c r="G13" s="451"/>
      <c r="H13"/>
      <c r="J13"/>
      <c r="K13" s="211"/>
      <c r="L13" s="450"/>
      <c r="M13" s="450" t="s">
        <v>471</v>
      </c>
      <c r="N13" s="450"/>
      <c r="O13" s="450"/>
      <c r="P13" s="451"/>
      <c r="Q13"/>
    </row>
    <row r="14" spans="1:17" x14ac:dyDescent="0.25">
      <c r="A14"/>
      <c r="B14" s="552" t="s">
        <v>189</v>
      </c>
      <c r="C14" s="553"/>
      <c r="D14" s="554"/>
      <c r="E14" s="555" t="s">
        <v>188</v>
      </c>
      <c r="F14" s="556"/>
      <c r="G14" s="557"/>
      <c r="H14"/>
      <c r="J14"/>
      <c r="K14" s="555" t="s">
        <v>189</v>
      </c>
      <c r="L14" s="556"/>
      <c r="M14" s="557"/>
      <c r="N14" s="555" t="s">
        <v>188</v>
      </c>
      <c r="O14" s="556"/>
      <c r="P14" s="557"/>
      <c r="Q14"/>
    </row>
    <row r="15" spans="1:17" x14ac:dyDescent="0.25">
      <c r="A15"/>
      <c r="B15" s="210" t="s">
        <v>190</v>
      </c>
      <c r="C15" s="212"/>
      <c r="D15" s="214">
        <v>1</v>
      </c>
      <c r="E15" s="213" t="s">
        <v>185</v>
      </c>
      <c r="F15" s="213"/>
      <c r="G15" s="214">
        <v>1</v>
      </c>
      <c r="H15"/>
      <c r="J15"/>
      <c r="K15" s="210" t="s">
        <v>190</v>
      </c>
      <c r="L15" s="212"/>
      <c r="M15" s="214">
        <v>1</v>
      </c>
      <c r="N15" s="213" t="s">
        <v>185</v>
      </c>
      <c r="O15" s="213"/>
      <c r="P15" s="214">
        <v>1</v>
      </c>
      <c r="Q15" s="55"/>
    </row>
    <row r="16" spans="1:17" x14ac:dyDescent="0.25">
      <c r="A16"/>
      <c r="B16" s="211" t="s">
        <v>191</v>
      </c>
      <c r="C16" s="212"/>
      <c r="D16" s="214">
        <v>2</v>
      </c>
      <c r="E16" s="213" t="s">
        <v>186</v>
      </c>
      <c r="F16" s="213"/>
      <c r="G16" s="214">
        <v>1</v>
      </c>
      <c r="H16"/>
      <c r="J16"/>
      <c r="K16" s="211" t="s">
        <v>191</v>
      </c>
      <c r="L16" s="212"/>
      <c r="M16" s="214">
        <v>2</v>
      </c>
      <c r="N16" s="213" t="s">
        <v>186</v>
      </c>
      <c r="O16" s="213"/>
      <c r="P16" s="214">
        <v>1</v>
      </c>
      <c r="Q16" s="55"/>
    </row>
    <row r="17" spans="1:17" x14ac:dyDescent="0.25">
      <c r="A17"/>
      <c r="B17" s="211" t="s">
        <v>192</v>
      </c>
      <c r="C17" s="212"/>
      <c r="D17" s="215">
        <v>0.4</v>
      </c>
      <c r="E17" s="213" t="s">
        <v>187</v>
      </c>
      <c r="F17" s="213"/>
      <c r="G17" s="215">
        <v>0.2</v>
      </c>
      <c r="H17" s="54"/>
      <c r="J17"/>
      <c r="K17" s="211" t="s">
        <v>192</v>
      </c>
      <c r="L17" s="212"/>
      <c r="M17" s="215">
        <v>0.4</v>
      </c>
      <c r="N17" s="213" t="s">
        <v>187</v>
      </c>
      <c r="O17" s="213"/>
      <c r="P17" s="215">
        <v>0.2</v>
      </c>
      <c r="Q17"/>
    </row>
    <row r="18" spans="1:17" x14ac:dyDescent="0.25">
      <c r="A18"/>
      <c r="B18" s="211" t="s">
        <v>193</v>
      </c>
      <c r="C18" s="212"/>
      <c r="D18" s="215">
        <v>0.4</v>
      </c>
      <c r="E18" s="211"/>
      <c r="F18" s="212"/>
      <c r="G18" s="216"/>
      <c r="H18"/>
      <c r="J18"/>
      <c r="K18" s="211" t="s">
        <v>193</v>
      </c>
      <c r="L18" s="212"/>
      <c r="M18" s="215">
        <v>0.4</v>
      </c>
      <c r="N18" s="211"/>
      <c r="O18" s="212"/>
      <c r="P18" s="216"/>
      <c r="Q18" s="43"/>
    </row>
    <row r="19" spans="1:17" x14ac:dyDescent="0.25">
      <c r="H19" s="20"/>
    </row>
    <row r="20" spans="1:17" ht="16.5" x14ac:dyDescent="0.3">
      <c r="A20" s="55"/>
      <c r="B20" s="55"/>
      <c r="C20"/>
      <c r="D20"/>
      <c r="E20" s="280" t="s">
        <v>472</v>
      </c>
      <c r="F20" s="55"/>
      <c r="G20" s="55"/>
      <c r="H20" s="55"/>
      <c r="I20"/>
      <c r="J20" s="257"/>
      <c r="K20" s="257"/>
      <c r="L20" s="55"/>
      <c r="M20"/>
      <c r="N20" s="280" t="s">
        <v>473</v>
      </c>
      <c r="O20" s="55"/>
      <c r="P20"/>
      <c r="Q20" s="55"/>
    </row>
    <row r="21" spans="1:17" x14ac:dyDescent="0.25">
      <c r="A21" s="20"/>
      <c r="B21" s="55"/>
      <c r="C21" s="118" t="s">
        <v>467</v>
      </c>
      <c r="D21" s="118" t="s">
        <v>461</v>
      </c>
      <c r="E21" s="118"/>
      <c r="F21" s="228"/>
      <c r="G21" s="228"/>
      <c r="J21" s="20"/>
      <c r="K21" s="20"/>
      <c r="L21" s="118" t="s">
        <v>461</v>
      </c>
      <c r="M21" s="228"/>
      <c r="N21" s="228"/>
      <c r="O21" s="228"/>
      <c r="P21" s="228"/>
    </row>
    <row r="22" spans="1:17" x14ac:dyDescent="0.25">
      <c r="B22"/>
      <c r="C22" s="72" t="s">
        <v>462</v>
      </c>
      <c r="D22" s="72" t="s">
        <v>463</v>
      </c>
      <c r="E22" s="72" t="s">
        <v>464</v>
      </c>
      <c r="F22" s="72" t="s">
        <v>465</v>
      </c>
      <c r="G22" s="72" t="s">
        <v>466</v>
      </c>
      <c r="H22" s="56" t="s">
        <v>182</v>
      </c>
      <c r="I22" s="55"/>
      <c r="J22"/>
      <c r="K22"/>
      <c r="L22" s="72" t="s">
        <v>462</v>
      </c>
      <c r="M22" s="72" t="s">
        <v>463</v>
      </c>
      <c r="N22" s="72" t="s">
        <v>464</v>
      </c>
      <c r="O22" s="72" t="s">
        <v>465</v>
      </c>
      <c r="P22" s="72" t="s">
        <v>466</v>
      </c>
      <c r="Q22" s="56" t="s">
        <v>494</v>
      </c>
    </row>
    <row r="23" spans="1:17" x14ac:dyDescent="0.25">
      <c r="B23" s="218" t="s">
        <v>388</v>
      </c>
      <c r="C23" s="228">
        <v>445</v>
      </c>
      <c r="D23" s="228">
        <f>C24</f>
        <v>428</v>
      </c>
      <c r="E23" s="118"/>
      <c r="F23" s="228"/>
      <c r="G23" s="228"/>
      <c r="H23" s="354"/>
      <c r="I23" s="20"/>
      <c r="J23" s="454"/>
      <c r="K23" s="218" t="s">
        <v>388</v>
      </c>
      <c r="L23" s="228"/>
      <c r="M23" s="118" t="str">
        <f>IF(ISNUMBER(L24),L24," ")</f>
        <v xml:space="preserve"> </v>
      </c>
      <c r="N23" s="228"/>
      <c r="O23" s="228">
        <v>445</v>
      </c>
      <c r="P23" s="228">
        <v>428</v>
      </c>
      <c r="Q23" s="354"/>
    </row>
    <row r="24" spans="1:17" x14ac:dyDescent="0.25">
      <c r="B24" s="218" t="s">
        <v>389</v>
      </c>
      <c r="C24" s="241">
        <v>428</v>
      </c>
      <c r="D24" s="241">
        <v>354</v>
      </c>
      <c r="E24" s="197"/>
      <c r="F24" s="241"/>
      <c r="G24" s="241"/>
      <c r="H24" s="452"/>
      <c r="I24" s="354"/>
      <c r="J24" s="454"/>
      <c r="K24" s="218" t="s">
        <v>389</v>
      </c>
      <c r="L24" s="241"/>
      <c r="M24" s="241"/>
      <c r="N24" s="241"/>
      <c r="O24" s="241">
        <v>428</v>
      </c>
      <c r="P24" s="241">
        <v>354</v>
      </c>
      <c r="Q24" s="452"/>
    </row>
    <row r="25" spans="1:17" x14ac:dyDescent="0.25">
      <c r="B25" s="219" t="s">
        <v>390</v>
      </c>
      <c r="C25" s="43">
        <f t="shared" ref="C25:F25" si="1">IF(ISNUMBER(C23),C23-C24,"")</f>
        <v>17</v>
      </c>
      <c r="D25" s="43">
        <f t="shared" si="1"/>
        <v>74</v>
      </c>
      <c r="E25" s="43" t="str">
        <f t="shared" si="1"/>
        <v/>
      </c>
      <c r="F25" s="43" t="str">
        <f t="shared" si="1"/>
        <v/>
      </c>
      <c r="G25" s="43" t="str">
        <f>IF(ISNUMBER(G23),G23-G24,"")</f>
        <v/>
      </c>
      <c r="H25" s="407">
        <f>SUM(C25:G25)</f>
        <v>91</v>
      </c>
      <c r="I25" s="43"/>
      <c r="J25" s="219"/>
      <c r="K25" s="219" t="s">
        <v>390</v>
      </c>
      <c r="L25" s="43" t="str">
        <f t="shared" ref="L25:N25" si="2">IF(ISNUMBER(L23),L23-L24,"")</f>
        <v/>
      </c>
      <c r="M25" s="43" t="str">
        <f t="shared" si="2"/>
        <v/>
      </c>
      <c r="N25" s="43" t="str">
        <f t="shared" si="2"/>
        <v/>
      </c>
      <c r="O25" s="43">
        <f>IF(ISNUMBER(O23),O23-O24,"")</f>
        <v>17</v>
      </c>
      <c r="P25" s="43">
        <f>IF(ISNUMBER(P23),P23-P24,"")</f>
        <v>74</v>
      </c>
      <c r="Q25" s="407">
        <f>SUM(L25:P25)</f>
        <v>91</v>
      </c>
    </row>
    <row r="26" spans="1:17" ht="16.5" x14ac:dyDescent="0.3">
      <c r="B26" s="218" t="s">
        <v>391</v>
      </c>
      <c r="C26" s="228">
        <v>287</v>
      </c>
      <c r="D26" s="228">
        <v>801</v>
      </c>
      <c r="E26" s="118"/>
      <c r="F26" s="228"/>
      <c r="G26" s="228"/>
      <c r="H26" s="407">
        <f>SUM(C26:G26)</f>
        <v>1088</v>
      </c>
      <c r="I26" s="372"/>
      <c r="J26" s="454"/>
      <c r="K26" s="218" t="s">
        <v>391</v>
      </c>
      <c r="L26" s="228"/>
      <c r="M26" s="228"/>
      <c r="N26" s="228"/>
      <c r="O26" s="228">
        <v>287</v>
      </c>
      <c r="P26" s="228">
        <v>801</v>
      </c>
      <c r="Q26" s="407">
        <f>SUM(L26:P26)</f>
        <v>1088</v>
      </c>
    </row>
    <row r="27" spans="1:17" x14ac:dyDescent="0.25">
      <c r="B27" s="218" t="s">
        <v>392</v>
      </c>
      <c r="C27" s="229">
        <f t="shared" ref="C27:E27" si="3">IF(AND(ISNUMBER(C25),ISNUMBER(C26)),C25/C26,"")</f>
        <v>5.9233449477351915E-2</v>
      </c>
      <c r="D27" s="229">
        <f t="shared" si="3"/>
        <v>9.2384519350811489E-2</v>
      </c>
      <c r="E27" s="229" t="str">
        <f t="shared" si="3"/>
        <v/>
      </c>
      <c r="F27" s="229" t="str">
        <f t="shared" ref="F27" si="4">IF(AND(ISNUMBER(F25),ISNUMBER(F26)),F25/F26,"")</f>
        <v/>
      </c>
      <c r="G27" s="229" t="str">
        <f t="shared" ref="G27" si="5">IF(AND(ISNUMBER(G25),ISNUMBER(G26)),G25/G26,"")</f>
        <v/>
      </c>
      <c r="H27" s="322"/>
      <c r="J27" s="454"/>
      <c r="K27" s="218" t="s">
        <v>392</v>
      </c>
      <c r="L27" s="229" t="str">
        <f t="shared" ref="L27:M27" si="6">IF(AND(ISNUMBER(L25),ISNUMBER(L26)),L25/L26,"")</f>
        <v/>
      </c>
      <c r="M27" s="229" t="str">
        <f t="shared" si="6"/>
        <v/>
      </c>
      <c r="N27" s="229" t="str">
        <f>IF(AND(ISNUMBER(N25),ISNUMBER(N26)),N25/N26,"")</f>
        <v/>
      </c>
      <c r="O27" s="229">
        <f>IF(AND(ISNUMBER(O25),ISNUMBER(O26)),O25/O26,"")</f>
        <v>5.9233449477351915E-2</v>
      </c>
      <c r="P27" s="229">
        <f>IF(AND(ISNUMBER(P25),ISNUMBER(P26)),P25/P26,"")</f>
        <v>9.2384519350811489E-2</v>
      </c>
      <c r="Q27" s="43"/>
    </row>
    <row r="28" spans="1:17" x14ac:dyDescent="0.25">
      <c r="B28" s="218" t="s">
        <v>393</v>
      </c>
      <c r="C28" s="229">
        <f>IF(ISNUMBER(C27),0.0078*(C26)^0.77*(C27)^-0.385," ")</f>
        <v>1.8081121256640043</v>
      </c>
      <c r="D28" s="229">
        <f t="shared" ref="D28:F28" si="7">IF(ISNUMBER(D27),0.0078*(D26)^0.77*(D27)^-0.385," ")</f>
        <v>3.3584272622904883</v>
      </c>
      <c r="E28" s="229" t="str">
        <f t="shared" si="7"/>
        <v xml:space="preserve"> </v>
      </c>
      <c r="F28" s="229" t="str">
        <f t="shared" si="7"/>
        <v xml:space="preserve"> </v>
      </c>
      <c r="G28" s="229" t="str">
        <f>IF(ISNUMBER(G27),0.0078*(G26)^0.77*(G27)^-0.385," ")</f>
        <v xml:space="preserve"> </v>
      </c>
      <c r="H28" s="323"/>
      <c r="I28"/>
      <c r="J28" s="218"/>
      <c r="K28" s="218" t="s">
        <v>393</v>
      </c>
      <c r="L28" s="229" t="str">
        <f>IF(ISNUMBER(L27),0.0078*(L26)^0.77*(L27)^-0.385," ")</f>
        <v xml:space="preserve"> </v>
      </c>
      <c r="M28" s="229" t="str">
        <f>IF(ISNUMBER(M27),0.0078*(M26)^0.77*(M27)^-0.385," ")</f>
        <v xml:space="preserve"> </v>
      </c>
      <c r="N28" s="229" t="str">
        <f>IF(ISNUMBER(N27),0.0078*(N26)^0.77*(N27)^-0.385," ")</f>
        <v xml:space="preserve"> </v>
      </c>
      <c r="O28" s="229">
        <f>IF(ISNUMBER(O27),0.0078*(O26)^0.77*(O27)^-0.385," ")</f>
        <v>1.8081121256640043</v>
      </c>
      <c r="P28" s="229">
        <f>IF(ISNUMBER(P27),0.0078*(P26)^0.77*(P27)^-0.385," ")</f>
        <v>3.3584272622904883</v>
      </c>
      <c r="Q28" s="43"/>
    </row>
    <row r="29" spans="1:17" x14ac:dyDescent="0.25">
      <c r="B29" s="218" t="s">
        <v>183</v>
      </c>
      <c r="C29" s="118" t="s">
        <v>147</v>
      </c>
      <c r="D29" s="118" t="s">
        <v>500</v>
      </c>
      <c r="E29" s="118"/>
      <c r="F29" s="118"/>
      <c r="G29" s="118"/>
      <c r="H29" s="16"/>
      <c r="I29" s="354"/>
      <c r="J29" s="454"/>
      <c r="K29" s="218" t="s">
        <v>183</v>
      </c>
      <c r="L29" s="118"/>
      <c r="M29" s="118"/>
      <c r="N29" s="118"/>
      <c r="O29" s="118"/>
      <c r="P29" s="118"/>
      <c r="Q29" s="16"/>
    </row>
    <row r="30" spans="1:17" ht="18" x14ac:dyDescent="0.35">
      <c r="B30" s="218" t="s">
        <v>194</v>
      </c>
      <c r="C30" s="228">
        <v>2</v>
      </c>
      <c r="D30" s="228">
        <v>1</v>
      </c>
      <c r="E30" s="118"/>
      <c r="F30" s="228"/>
      <c r="G30" s="228"/>
      <c r="H30" s="455"/>
      <c r="I30" s="354"/>
      <c r="J30" s="454"/>
      <c r="K30" s="218" t="s">
        <v>194</v>
      </c>
      <c r="L30" s="228"/>
      <c r="M30" s="228"/>
      <c r="N30" s="228"/>
      <c r="O30" s="228">
        <v>2</v>
      </c>
      <c r="P30" s="228">
        <v>1</v>
      </c>
      <c r="Q30" s="455"/>
    </row>
    <row r="31" spans="1:17" x14ac:dyDescent="0.25">
      <c r="B31" s="218" t="s">
        <v>394</v>
      </c>
      <c r="C31" s="229">
        <f>IF(ISNUMBER(C28),C28*C30," ")</f>
        <v>3.6162242513280085</v>
      </c>
      <c r="D31" s="229">
        <f t="shared" ref="D31:F31" si="8">IF(ISNUMBER(D28),D28*D30," ")</f>
        <v>3.3584272622904883</v>
      </c>
      <c r="E31" s="229" t="str">
        <f t="shared" si="8"/>
        <v xml:space="preserve"> </v>
      </c>
      <c r="F31" s="229" t="str">
        <f t="shared" si="8"/>
        <v xml:space="preserve"> </v>
      </c>
      <c r="G31" s="229" t="str">
        <f>IF(ISNUMBER(G28),G28*G30," ")</f>
        <v xml:space="preserve"> </v>
      </c>
      <c r="H31" s="230">
        <f>SUM(C31:G31)</f>
        <v>6.9746515136184968</v>
      </c>
      <c r="I31"/>
      <c r="J31" s="218"/>
      <c r="K31" s="218" t="s">
        <v>394</v>
      </c>
      <c r="L31" s="229" t="str">
        <f>IF(ISNUMBER(L28),L28*L30," ")</f>
        <v xml:space="preserve"> </v>
      </c>
      <c r="M31" s="229" t="str">
        <f>IF(ISNUMBER(M28),M28*M30," ")</f>
        <v xml:space="preserve"> </v>
      </c>
      <c r="N31" s="229" t="str">
        <f>IF(ISNUMBER(N28),N28*N30," ")</f>
        <v xml:space="preserve"> </v>
      </c>
      <c r="O31" s="229">
        <f>IF(ISNUMBER(O28),O28*O30," ")</f>
        <v>3.6162242513280085</v>
      </c>
      <c r="P31" s="229">
        <f>IF(ISNUMBER(P28),P28*P30," ")</f>
        <v>3.3584272622904883</v>
      </c>
      <c r="Q31" s="230">
        <f>SUM(L31:P31)</f>
        <v>6.9746515136184968</v>
      </c>
    </row>
    <row r="32" spans="1:17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17"/>
    </row>
    <row r="33" spans="1:17" ht="16.5" x14ac:dyDescent="0.3">
      <c r="A33" s="453"/>
      <c r="B33" s="257"/>
      <c r="C33" s="55"/>
      <c r="D33"/>
      <c r="E33" s="280" t="s">
        <v>474</v>
      </c>
      <c r="F33" s="17"/>
      <c r="G33" s="55"/>
      <c r="H33"/>
      <c r="I33"/>
      <c r="J33" s="257"/>
      <c r="K33" s="257"/>
      <c r="L33" s="55"/>
      <c r="M33"/>
      <c r="N33" s="280" t="s">
        <v>475</v>
      </c>
      <c r="O33" s="55"/>
      <c r="P33" s="55"/>
      <c r="Q33" s="55"/>
    </row>
    <row r="34" spans="1:17" x14ac:dyDescent="0.25">
      <c r="A34" s="20"/>
      <c r="B34" s="55"/>
      <c r="C34" s="118" t="s">
        <v>467</v>
      </c>
      <c r="D34" s="118" t="s">
        <v>461</v>
      </c>
      <c r="E34" s="228"/>
      <c r="F34" s="228"/>
      <c r="G34" s="228"/>
      <c r="H34" s="47"/>
      <c r="I34" s="20"/>
      <c r="L34" s="228"/>
      <c r="M34" s="228"/>
      <c r="N34" s="228"/>
      <c r="O34" s="228"/>
      <c r="P34" s="228"/>
    </row>
    <row r="35" spans="1:17" x14ac:dyDescent="0.25">
      <c r="B35"/>
      <c r="C35" s="72" t="s">
        <v>462</v>
      </c>
      <c r="D35" s="72" t="s">
        <v>463</v>
      </c>
      <c r="E35" s="72" t="s">
        <v>464</v>
      </c>
      <c r="F35" s="72" t="s">
        <v>465</v>
      </c>
      <c r="G35" s="72" t="s">
        <v>466</v>
      </c>
      <c r="H35" s="56" t="s">
        <v>182</v>
      </c>
      <c r="I35"/>
      <c r="J35" s="55"/>
      <c r="K35" s="55"/>
      <c r="L35" s="72" t="s">
        <v>462</v>
      </c>
      <c r="M35" s="72" t="s">
        <v>463</v>
      </c>
      <c r="N35" s="72" t="s">
        <v>464</v>
      </c>
      <c r="O35" s="72" t="s">
        <v>465</v>
      </c>
      <c r="P35" s="72" t="s">
        <v>466</v>
      </c>
      <c r="Q35" s="56" t="s">
        <v>182</v>
      </c>
    </row>
    <row r="36" spans="1:17" x14ac:dyDescent="0.25">
      <c r="A36" s="20"/>
      <c r="B36" s="218" t="s">
        <v>388</v>
      </c>
      <c r="C36" s="228">
        <v>441</v>
      </c>
      <c r="D36" s="118">
        <v>421</v>
      </c>
      <c r="E36" s="118"/>
      <c r="F36" s="228"/>
      <c r="G36" s="228"/>
      <c r="H36" s="354"/>
      <c r="I36" s="20"/>
      <c r="J36" s="20"/>
      <c r="K36" s="218" t="s">
        <v>388</v>
      </c>
      <c r="L36" s="228"/>
      <c r="M36" s="118">
        <v>441</v>
      </c>
      <c r="N36" s="228">
        <v>421</v>
      </c>
      <c r="O36" s="228"/>
      <c r="P36" s="228"/>
      <c r="Q36" s="354"/>
    </row>
    <row r="37" spans="1:17" x14ac:dyDescent="0.25">
      <c r="A37" s="20"/>
      <c r="B37" s="218" t="s">
        <v>389</v>
      </c>
      <c r="C37" s="241">
        <v>421</v>
      </c>
      <c r="D37" s="241">
        <v>354</v>
      </c>
      <c r="E37" s="197"/>
      <c r="F37" s="241"/>
      <c r="G37" s="241"/>
      <c r="H37" s="452"/>
      <c r="I37" s="20"/>
      <c r="J37" s="20"/>
      <c r="K37" s="218" t="s">
        <v>389</v>
      </c>
      <c r="L37" s="241"/>
      <c r="M37" s="241">
        <v>421</v>
      </c>
      <c r="N37" s="241">
        <v>354</v>
      </c>
      <c r="O37" s="241"/>
      <c r="P37" s="241"/>
      <c r="Q37" s="452"/>
    </row>
    <row r="38" spans="1:17" x14ac:dyDescent="0.25">
      <c r="A38" s="21"/>
      <c r="B38" s="219" t="s">
        <v>390</v>
      </c>
      <c r="C38" s="43">
        <f t="shared" ref="C38:F38" si="9">IF(ISNUMBER(C36),C36-C37,"")</f>
        <v>20</v>
      </c>
      <c r="D38" s="43">
        <f t="shared" si="9"/>
        <v>67</v>
      </c>
      <c r="E38" s="43" t="str">
        <f t="shared" si="9"/>
        <v/>
      </c>
      <c r="F38" s="43" t="str">
        <f t="shared" si="9"/>
        <v/>
      </c>
      <c r="G38" s="43" t="str">
        <f>IF(ISNUMBER(G36),G36-G37,"")</f>
        <v/>
      </c>
      <c r="H38" s="407">
        <f>SUM(C38:G38)</f>
        <v>87</v>
      </c>
      <c r="I38" s="43"/>
      <c r="J38" s="4"/>
      <c r="K38" s="219" t="s">
        <v>390</v>
      </c>
      <c r="L38" s="43" t="str">
        <f t="shared" ref="L38:O38" si="10">IF(ISNUMBER(L36),L36-L37,"")</f>
        <v/>
      </c>
      <c r="M38" s="43">
        <f t="shared" si="10"/>
        <v>20</v>
      </c>
      <c r="N38" s="43">
        <f t="shared" si="10"/>
        <v>67</v>
      </c>
      <c r="O38" s="43" t="str">
        <f t="shared" si="10"/>
        <v/>
      </c>
      <c r="P38" s="43" t="str">
        <f>IF(ISNUMBER(P36),P36-P37,"")</f>
        <v/>
      </c>
      <c r="Q38" s="407">
        <f>SUM(L38:P38)</f>
        <v>87</v>
      </c>
    </row>
    <row r="39" spans="1:17" ht="16.5" x14ac:dyDescent="0.3">
      <c r="A39" s="20"/>
      <c r="B39" s="218" t="s">
        <v>391</v>
      </c>
      <c r="C39" s="228">
        <v>275</v>
      </c>
      <c r="D39" s="228">
        <v>772</v>
      </c>
      <c r="E39" s="118"/>
      <c r="F39" s="228"/>
      <c r="G39" s="228"/>
      <c r="H39" s="407">
        <f>SUM(C39:G39)</f>
        <v>1047</v>
      </c>
      <c r="I39" s="354"/>
      <c r="J39" s="20"/>
      <c r="K39" s="218" t="s">
        <v>391</v>
      </c>
      <c r="L39" s="228"/>
      <c r="M39" s="228">
        <v>275</v>
      </c>
      <c r="N39" s="228">
        <v>772</v>
      </c>
      <c r="O39" s="228"/>
      <c r="P39" s="228"/>
      <c r="Q39" s="407">
        <f>SUM(L39:P39)</f>
        <v>1047</v>
      </c>
    </row>
    <row r="40" spans="1:17" x14ac:dyDescent="0.25">
      <c r="A40" s="20"/>
      <c r="B40" s="218" t="s">
        <v>392</v>
      </c>
      <c r="C40" s="229">
        <f t="shared" ref="C40:E40" si="11">IF(AND(ISNUMBER(C38),ISNUMBER(C39)),C38/C39,"")</f>
        <v>7.2727272727272724E-2</v>
      </c>
      <c r="D40" s="229">
        <f t="shared" si="11"/>
        <v>8.6787564766839381E-2</v>
      </c>
      <c r="E40" s="229" t="str">
        <f t="shared" si="11"/>
        <v/>
      </c>
      <c r="F40" s="229" t="str">
        <f t="shared" ref="F40" si="12">IF(AND(ISNUMBER(F38),ISNUMBER(F39)),F38/F39,"")</f>
        <v/>
      </c>
      <c r="G40" s="229" t="str">
        <f t="shared" ref="G40" si="13">IF(AND(ISNUMBER(G38),ISNUMBER(G39)),G38/G39,"")</f>
        <v/>
      </c>
      <c r="H40" s="229"/>
      <c r="I40"/>
      <c r="J40" s="55"/>
      <c r="K40" s="218" t="s">
        <v>392</v>
      </c>
      <c r="L40" s="229" t="str">
        <f t="shared" ref="L40:N40" si="14">IF(AND(ISNUMBER(L38),ISNUMBER(L39)),L38/L39,"")</f>
        <v/>
      </c>
      <c r="M40" s="229">
        <f t="shared" si="14"/>
        <v>7.2727272727272724E-2</v>
      </c>
      <c r="N40" s="229">
        <f t="shared" si="14"/>
        <v>8.6787564766839381E-2</v>
      </c>
      <c r="O40" s="229" t="str">
        <f t="shared" ref="O40" si="15">IF(AND(ISNUMBER(O38),ISNUMBER(O39)),O38/O39,"")</f>
        <v/>
      </c>
      <c r="P40" s="229" t="str">
        <f t="shared" ref="P40" si="16">IF(AND(ISNUMBER(P38),ISNUMBER(P39)),P38/P39,"")</f>
        <v/>
      </c>
      <c r="Q40" s="43"/>
    </row>
    <row r="41" spans="1:17" x14ac:dyDescent="0.25">
      <c r="A41" s="20"/>
      <c r="B41" s="218" t="s">
        <v>393</v>
      </c>
      <c r="C41" s="229">
        <f>IF(ISNUMBER(C40),0.0078*(C39)^0.77*(C40)^-0.385," ")</f>
        <v>1.6166920985186475</v>
      </c>
      <c r="D41" s="229">
        <f t="shared" ref="D41:G41" si="17">IF(ISNUMBER(D40),0.0078*(D39)^0.77*(D40)^-0.385," ")</f>
        <v>3.3439038824621301</v>
      </c>
      <c r="E41" s="229" t="str">
        <f t="shared" si="17"/>
        <v xml:space="preserve"> </v>
      </c>
      <c r="F41" s="229" t="str">
        <f t="shared" si="17"/>
        <v xml:space="preserve"> </v>
      </c>
      <c r="G41" s="229" t="str">
        <f t="shared" si="17"/>
        <v xml:space="preserve"> </v>
      </c>
      <c r="H41" s="323"/>
      <c r="I41"/>
      <c r="J41" s="55"/>
      <c r="K41" s="218" t="s">
        <v>393</v>
      </c>
      <c r="L41" s="229" t="str">
        <f>IF(ISNUMBER(L40),0.0078*(L39)^0.77*(L40)^-0.385," ")</f>
        <v xml:space="preserve"> </v>
      </c>
      <c r="M41" s="229">
        <f>IF(ISNUMBER(M40),0.0078*(M39)^0.77*(M40)^-0.385," ")</f>
        <v>1.6166920985186475</v>
      </c>
      <c r="N41" s="229">
        <f>IF(ISNUMBER(N40),0.0078*(N39)^0.77*(N40)^-0.385," ")</f>
        <v>3.3439038824621301</v>
      </c>
      <c r="O41" s="229" t="str">
        <f>IF(ISNUMBER(O40),0.0078*(O39)^0.77*(O40)^-0.385," ")</f>
        <v xml:space="preserve"> </v>
      </c>
      <c r="P41" s="229" t="str">
        <f>IF(ISNUMBER(P40),0.0078*(P39)^0.77*(P40)^-0.385," ")</f>
        <v xml:space="preserve"> </v>
      </c>
      <c r="Q41" s="43"/>
    </row>
    <row r="42" spans="1:17" x14ac:dyDescent="0.25">
      <c r="A42" s="20"/>
      <c r="B42" s="218" t="s">
        <v>183</v>
      </c>
      <c r="C42" s="228" t="s">
        <v>147</v>
      </c>
      <c r="D42" s="228" t="s">
        <v>500</v>
      </c>
      <c r="E42" s="118"/>
      <c r="F42" s="228"/>
      <c r="G42" s="118"/>
      <c r="H42" s="455"/>
      <c r="I42" s="354"/>
      <c r="J42" s="20"/>
      <c r="K42" s="218" t="s">
        <v>183</v>
      </c>
      <c r="L42" s="118"/>
      <c r="M42" s="118"/>
      <c r="N42" s="118"/>
      <c r="O42" s="118"/>
      <c r="P42" s="118"/>
      <c r="Q42" s="16"/>
    </row>
    <row r="43" spans="1:17" ht="18" x14ac:dyDescent="0.35">
      <c r="A43" s="20"/>
      <c r="B43" s="218" t="s">
        <v>194</v>
      </c>
      <c r="C43" s="228">
        <v>2</v>
      </c>
      <c r="D43" s="228">
        <v>1</v>
      </c>
      <c r="E43" s="118"/>
      <c r="F43" s="228"/>
      <c r="G43" s="228"/>
      <c r="H43" s="455"/>
      <c r="I43" s="354"/>
      <c r="J43" s="20"/>
      <c r="K43" s="218" t="s">
        <v>194</v>
      </c>
      <c r="L43" s="228"/>
      <c r="M43" s="228">
        <v>2</v>
      </c>
      <c r="N43" s="228">
        <v>1</v>
      </c>
      <c r="O43" s="228"/>
      <c r="P43" s="228"/>
      <c r="Q43" s="455"/>
    </row>
    <row r="44" spans="1:17" x14ac:dyDescent="0.25">
      <c r="A44" s="20"/>
      <c r="B44" s="218" t="s">
        <v>394</v>
      </c>
      <c r="C44" s="229">
        <f>IF(ISNUMBER(C41),C41*C43," ")</f>
        <v>3.233384197037295</v>
      </c>
      <c r="D44" s="229">
        <f t="shared" ref="D44:F44" si="18">IF(ISNUMBER(D41),D41*D43," ")</f>
        <v>3.3439038824621301</v>
      </c>
      <c r="E44" s="229" t="str">
        <f t="shared" si="18"/>
        <v xml:space="preserve"> </v>
      </c>
      <c r="F44" s="229" t="str">
        <f t="shared" si="18"/>
        <v xml:space="preserve"> </v>
      </c>
      <c r="G44" s="229" t="str">
        <f>IF(ISNUMBER(G41),G41*G43," ")</f>
        <v xml:space="preserve"> </v>
      </c>
      <c r="H44" s="230">
        <f>SUM(C44:G44)</f>
        <v>6.5772880794994251</v>
      </c>
      <c r="I44"/>
      <c r="J44" s="55"/>
      <c r="K44" s="218" t="s">
        <v>394</v>
      </c>
      <c r="L44" s="229" t="str">
        <f>IF(ISNUMBER(L41),L41*L43," ")</f>
        <v xml:space="preserve"> </v>
      </c>
      <c r="M44" s="229">
        <f>IF(ISNUMBER(M41),M41*M43," ")</f>
        <v>3.233384197037295</v>
      </c>
      <c r="N44" s="229">
        <f>IF(ISNUMBER(N41),N41*N43," ")</f>
        <v>3.3439038824621301</v>
      </c>
      <c r="O44" s="229" t="str">
        <f>IF(ISNUMBER(O41),O41*O43," ")</f>
        <v xml:space="preserve"> </v>
      </c>
      <c r="P44" s="229" t="str">
        <f>IF(ISNUMBER(P41),P41*P43," ")</f>
        <v xml:space="preserve"> </v>
      </c>
      <c r="Q44" s="230">
        <f>SUM(L44:P44)</f>
        <v>6.5772880794994251</v>
      </c>
    </row>
  </sheetData>
  <sheetProtection algorithmName="SHA-512" hashValue="3oJs21tiMQivQnL3uK+M0O/n0lb2KG9bxJxl0BgdbbmoTEvgx94W+AamBmstsfxvze9uYQYmQrEOJ+s20Xnvkg==" saltValue="KaW96E1qEEJdgiSL+mo0+A==" spinCount="100000" sheet="1" objects="1" scenarios="1" selectLockedCells="1"/>
  <mergeCells count="6">
    <mergeCell ref="B1:G1"/>
    <mergeCell ref="K1:P1"/>
    <mergeCell ref="B14:D14"/>
    <mergeCell ref="E14:G14"/>
    <mergeCell ref="K14:M14"/>
    <mergeCell ref="N14:P14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Y46"/>
  <sheetViews>
    <sheetView zoomScaleNormal="100" workbookViewId="0">
      <selection activeCell="F26" sqref="F26"/>
    </sheetView>
  </sheetViews>
  <sheetFormatPr defaultColWidth="8.85546875" defaultRowHeight="15" x14ac:dyDescent="0.25"/>
  <cols>
    <col min="1" max="1" width="21.5703125" style="13" customWidth="1"/>
    <col min="2" max="2" width="10.7109375" style="13" customWidth="1"/>
    <col min="3" max="5" width="9.7109375" style="13" customWidth="1"/>
    <col min="6" max="6" width="10.5703125" style="13" customWidth="1"/>
    <col min="7" max="7" width="10" style="13" customWidth="1"/>
    <col min="8" max="13" width="8.85546875" style="13"/>
    <col min="14" max="14" width="8.85546875" style="16"/>
    <col min="15" max="23" width="8.85546875" style="13"/>
    <col min="24" max="24" width="10.5703125" style="16" bestFit="1" customWidth="1"/>
    <col min="25" max="25" width="9.5703125" style="13" bestFit="1" customWidth="1"/>
    <col min="26" max="16384" width="8.85546875" style="13"/>
  </cols>
  <sheetData>
    <row r="1" spans="1:7" ht="18.75" x14ac:dyDescent="0.3">
      <c r="A1"/>
      <c r="B1" s="17"/>
      <c r="C1" s="551" t="s">
        <v>167</v>
      </c>
      <c r="D1" s="551"/>
      <c r="E1" s="551"/>
      <c r="F1" s="17"/>
      <c r="G1"/>
    </row>
    <row r="2" spans="1:7" x14ac:dyDescent="0.25">
      <c r="A2"/>
      <c r="B2" s="94" t="s">
        <v>382</v>
      </c>
      <c r="C2"/>
      <c r="D2"/>
      <c r="E2" s="17"/>
      <c r="F2" s="17"/>
      <c r="G2"/>
    </row>
    <row r="3" spans="1:7" x14ac:dyDescent="0.25">
      <c r="A3"/>
      <c r="B3" s="17"/>
      <c r="C3"/>
      <c r="D3"/>
      <c r="E3" s="17"/>
      <c r="F3" s="17"/>
      <c r="G3"/>
    </row>
    <row r="4" spans="1:7" x14ac:dyDescent="0.25">
      <c r="A4"/>
      <c r="B4"/>
      <c r="C4"/>
      <c r="D4"/>
      <c r="E4"/>
      <c r="F4"/>
      <c r="G4"/>
    </row>
    <row r="5" spans="1:7" ht="15" customHeight="1" x14ac:dyDescent="0.25">
      <c r="A5"/>
      <c r="B5"/>
      <c r="C5"/>
      <c r="D5"/>
      <c r="E5"/>
      <c r="F5"/>
      <c r="G5"/>
    </row>
    <row r="6" spans="1:7" ht="16.5" x14ac:dyDescent="0.25">
      <c r="A6" s="1" t="s">
        <v>0</v>
      </c>
      <c r="B6" s="310" t="s">
        <v>635</v>
      </c>
      <c r="C6" s="118"/>
      <c r="D6" s="118"/>
      <c r="E6" s="178" t="s">
        <v>280</v>
      </c>
      <c r="F6" s="178" t="s">
        <v>7</v>
      </c>
      <c r="G6" s="178" t="s">
        <v>468</v>
      </c>
    </row>
    <row r="7" spans="1:7" x14ac:dyDescent="0.25">
      <c r="A7" s="173" t="s">
        <v>4</v>
      </c>
      <c r="B7" s="313" t="s">
        <v>229</v>
      </c>
      <c r="C7" s="314"/>
      <c r="D7" s="314"/>
      <c r="E7" s="119">
        <v>32.715600000000002</v>
      </c>
      <c r="F7" s="120">
        <v>86.089399999999998</v>
      </c>
      <c r="G7" s="119">
        <v>557</v>
      </c>
    </row>
    <row r="8" spans="1:7" x14ac:dyDescent="0.25">
      <c r="A8" s="1" t="s">
        <v>173</v>
      </c>
      <c r="B8" s="310" t="s">
        <v>232</v>
      </c>
      <c r="C8" s="118"/>
      <c r="D8" s="118"/>
      <c r="E8" s="225"/>
      <c r="F8" s="16"/>
    </row>
    <row r="9" spans="1:7" x14ac:dyDescent="0.25">
      <c r="A9" s="1" t="s">
        <v>118</v>
      </c>
      <c r="B9" s="117" t="s">
        <v>231</v>
      </c>
      <c r="C9" s="225"/>
      <c r="D9" s="225"/>
      <c r="E9" s="225"/>
    </row>
    <row r="10" spans="1:7" x14ac:dyDescent="0.25">
      <c r="A10" s="33" t="s">
        <v>164</v>
      </c>
      <c r="B10" s="309" t="s">
        <v>243</v>
      </c>
      <c r="C10" s="225"/>
      <c r="D10" s="225"/>
      <c r="E10" s="225"/>
    </row>
    <row r="11" spans="1:7" x14ac:dyDescent="0.25">
      <c r="A11" s="1" t="s">
        <v>10</v>
      </c>
      <c r="B11" s="310" t="s">
        <v>230</v>
      </c>
      <c r="C11" s="225"/>
      <c r="D11" s="225"/>
      <c r="E11" s="312"/>
      <c r="F11" s="57"/>
    </row>
    <row r="12" spans="1:7" x14ac:dyDescent="0.25">
      <c r="A12" t="s">
        <v>395</v>
      </c>
      <c r="B12" s="311">
        <v>42572</v>
      </c>
      <c r="C12" s="225"/>
      <c r="D12" s="225"/>
    </row>
    <row r="13" spans="1:7" x14ac:dyDescent="0.25">
      <c r="A13" s="33" t="s">
        <v>122</v>
      </c>
      <c r="B13" s="310" t="s">
        <v>2</v>
      </c>
      <c r="C13" s="312"/>
      <c r="D13" s="312"/>
    </row>
    <row r="14" spans="1:7" x14ac:dyDescent="0.25">
      <c r="A14"/>
      <c r="B14"/>
    </row>
    <row r="15" spans="1:7" x14ac:dyDescent="0.25">
      <c r="A15" s="33" t="s">
        <v>238</v>
      </c>
      <c r="B15" s="126" t="s">
        <v>236</v>
      </c>
    </row>
    <row r="16" spans="1:7" ht="15.75" customHeight="1" x14ac:dyDescent="0.25">
      <c r="A16" s="36" t="s">
        <v>629</v>
      </c>
      <c r="B16" s="118" t="s">
        <v>251</v>
      </c>
    </row>
    <row r="17" spans="1:25" ht="15" customHeight="1" x14ac:dyDescent="0.25">
      <c r="A17" s="36" t="s">
        <v>628</v>
      </c>
      <c r="B17" s="118" t="s">
        <v>253</v>
      </c>
      <c r="E17" s="16"/>
    </row>
    <row r="18" spans="1:25" ht="17.25" x14ac:dyDescent="0.25">
      <c r="A18" s="36" t="s">
        <v>224</v>
      </c>
      <c r="B18" s="118" t="s">
        <v>248</v>
      </c>
      <c r="E18" s="16"/>
    </row>
    <row r="19" spans="1:25" ht="17.25" x14ac:dyDescent="0.25">
      <c r="A19" s="33" t="s">
        <v>226</v>
      </c>
      <c r="B19" s="315">
        <v>1.31</v>
      </c>
      <c r="C19" s="61"/>
      <c r="D19" s="61"/>
      <c r="E19" s="16"/>
      <c r="G19" s="16"/>
    </row>
    <row r="20" spans="1:25" x14ac:dyDescent="0.25">
      <c r="A20"/>
    </row>
    <row r="21" spans="1:25" x14ac:dyDescent="0.25">
      <c r="A21"/>
      <c r="B21" s="17"/>
      <c r="C21" s="89" t="s">
        <v>345</v>
      </c>
      <c r="D21" s="89"/>
      <c r="E21" s="17"/>
      <c r="F21"/>
      <c r="G21" s="17"/>
      <c r="L21" s="498"/>
      <c r="N21" s="51"/>
      <c r="O21" s="16"/>
      <c r="Q21" s="16"/>
      <c r="Y21" s="16"/>
    </row>
    <row r="22" spans="1:25" x14ac:dyDescent="0.25">
      <c r="A22"/>
      <c r="B22" s="17" t="s">
        <v>343</v>
      </c>
      <c r="C22" s="17" t="s">
        <v>267</v>
      </c>
      <c r="D22" s="17" t="s">
        <v>239</v>
      </c>
      <c r="E22" s="17" t="s">
        <v>239</v>
      </c>
      <c r="F22" s="17" t="s">
        <v>240</v>
      </c>
      <c r="G22" s="43" t="s">
        <v>135</v>
      </c>
      <c r="L22" s="16"/>
      <c r="M22" s="16"/>
      <c r="O22" s="16"/>
      <c r="P22" s="16"/>
      <c r="Q22" s="354"/>
    </row>
    <row r="23" spans="1:25" x14ac:dyDescent="0.25">
      <c r="A23"/>
      <c r="B23" s="72" t="s">
        <v>144</v>
      </c>
      <c r="C23" s="50"/>
      <c r="D23" s="72" t="s">
        <v>169</v>
      </c>
      <c r="E23" s="72" t="s">
        <v>632</v>
      </c>
      <c r="F23" s="90" t="s">
        <v>169</v>
      </c>
      <c r="G23" s="82" t="s">
        <v>346</v>
      </c>
      <c r="L23" s="16"/>
      <c r="O23" s="16"/>
      <c r="P23" s="471"/>
      <c r="Q23" s="354"/>
    </row>
    <row r="24" spans="1:25" x14ac:dyDescent="0.25">
      <c r="A24" t="s">
        <v>241</v>
      </c>
      <c r="B24" s="17">
        <v>0</v>
      </c>
      <c r="C24" s="18">
        <v>0</v>
      </c>
      <c r="D24" s="126">
        <v>0</v>
      </c>
      <c r="E24" s="17">
        <f>D24/5280</f>
        <v>0</v>
      </c>
      <c r="F24" s="126">
        <v>559</v>
      </c>
      <c r="G24" s="74"/>
      <c r="L24" s="16"/>
      <c r="M24" s="58"/>
      <c r="O24" s="16"/>
      <c r="P24" s="471"/>
      <c r="Q24" s="437"/>
    </row>
    <row r="25" spans="1:25" x14ac:dyDescent="0.25">
      <c r="A25" t="s">
        <v>384</v>
      </c>
      <c r="B25" s="17">
        <v>10</v>
      </c>
      <c r="C25" s="18">
        <v>0.1</v>
      </c>
      <c r="D25" s="126">
        <f>D27*C25</f>
        <v>1249.78</v>
      </c>
      <c r="E25" s="42">
        <f>D25/5280</f>
        <v>0.23670075757575756</v>
      </c>
      <c r="F25" s="126">
        <v>573</v>
      </c>
      <c r="G25" s="74"/>
      <c r="L25" s="16"/>
      <c r="M25" s="58"/>
      <c r="N25" s="64"/>
      <c r="O25" s="16"/>
      <c r="P25" s="471"/>
      <c r="Q25" s="437"/>
    </row>
    <row r="26" spans="1:25" x14ac:dyDescent="0.25">
      <c r="A26" t="s">
        <v>383</v>
      </c>
      <c r="B26" s="17">
        <v>85</v>
      </c>
      <c r="C26" s="18">
        <v>0.85</v>
      </c>
      <c r="D26" s="126">
        <f>D27*C26</f>
        <v>10623.13</v>
      </c>
      <c r="E26" s="42">
        <f>D26/5280</f>
        <v>2.0119564393939391</v>
      </c>
      <c r="F26" s="126">
        <v>679</v>
      </c>
      <c r="G26" s="325"/>
      <c r="L26" s="16"/>
      <c r="M26" s="58"/>
      <c r="N26" s="64"/>
      <c r="O26" s="470"/>
      <c r="P26" s="471"/>
      <c r="Q26" s="93"/>
    </row>
    <row r="27" spans="1:25" x14ac:dyDescent="0.25">
      <c r="A27" t="s">
        <v>347</v>
      </c>
      <c r="B27" s="72">
        <v>100</v>
      </c>
      <c r="C27" s="70">
        <v>1</v>
      </c>
      <c r="D27" s="197">
        <v>12497.8</v>
      </c>
      <c r="E27" s="505">
        <f>D27/5280</f>
        <v>2.3670075757575755</v>
      </c>
      <c r="F27" s="258">
        <v>776</v>
      </c>
      <c r="G27" s="226"/>
      <c r="L27" s="16"/>
      <c r="M27" s="58"/>
      <c r="O27" s="470"/>
      <c r="P27" s="471"/>
      <c r="Q27" s="499"/>
    </row>
    <row r="28" spans="1:25" ht="15" customHeight="1" thickBot="1" x14ac:dyDescent="0.3">
      <c r="A28" s="217" t="s">
        <v>254</v>
      </c>
      <c r="B28" s="220">
        <v>75</v>
      </c>
      <c r="C28" s="221">
        <f>C26-C25</f>
        <v>0.75</v>
      </c>
      <c r="D28" s="222">
        <f>D26-D25</f>
        <v>9373.3499999999985</v>
      </c>
      <c r="E28" s="224">
        <f>E26-E25</f>
        <v>1.7752556818181815</v>
      </c>
      <c r="F28" s="223">
        <f>F26-F25</f>
        <v>106</v>
      </c>
      <c r="G28" s="496">
        <f>F28/E28</f>
        <v>59.709708908767951</v>
      </c>
      <c r="J28" s="185"/>
      <c r="L28" s="436"/>
      <c r="M28" s="408"/>
      <c r="N28" s="500"/>
      <c r="O28" s="501"/>
      <c r="P28" s="502"/>
      <c r="Q28" s="502"/>
    </row>
    <row r="29" spans="1:25" ht="15.75" thickTop="1" x14ac:dyDescent="0.25">
      <c r="F29" s="57"/>
      <c r="G29" s="93"/>
    </row>
    <row r="30" spans="1:25" ht="15" customHeight="1" x14ac:dyDescent="0.25">
      <c r="B30" s="16"/>
      <c r="C30" s="503"/>
      <c r="D30" s="503"/>
      <c r="E30" s="16"/>
    </row>
    <row r="31" spans="1:25" x14ac:dyDescent="0.25">
      <c r="B31" s="16"/>
      <c r="C31" s="16"/>
      <c r="E31" s="16"/>
      <c r="F31" s="16"/>
      <c r="G31" s="354"/>
    </row>
    <row r="32" spans="1:25" x14ac:dyDescent="0.25">
      <c r="B32" s="16"/>
      <c r="D32" s="16"/>
      <c r="E32" s="16"/>
      <c r="F32" s="471"/>
      <c r="G32" s="354"/>
    </row>
    <row r="33" spans="1:16" x14ac:dyDescent="0.25">
      <c r="B33" s="16"/>
      <c r="C33" s="58"/>
      <c r="D33" s="64"/>
      <c r="E33" s="64"/>
      <c r="F33" s="471"/>
      <c r="G33" s="437"/>
      <c r="N33" s="470"/>
    </row>
    <row r="34" spans="1:16" x14ac:dyDescent="0.25">
      <c r="B34" s="16"/>
      <c r="C34" s="58"/>
      <c r="D34" s="64"/>
      <c r="E34" s="470"/>
      <c r="F34" s="471"/>
      <c r="G34" s="499"/>
      <c r="N34" s="470"/>
    </row>
    <row r="35" spans="1:16" x14ac:dyDescent="0.25">
      <c r="B35" s="16"/>
      <c r="C35" s="58"/>
      <c r="D35" s="64"/>
      <c r="E35" s="470"/>
      <c r="F35" s="471"/>
      <c r="G35" s="93"/>
      <c r="N35" s="470"/>
    </row>
    <row r="36" spans="1:16" x14ac:dyDescent="0.25">
      <c r="B36" s="16"/>
      <c r="C36" s="58"/>
      <c r="D36" s="64"/>
      <c r="E36" s="470"/>
      <c r="F36" s="471"/>
      <c r="N36" s="470"/>
    </row>
    <row r="37" spans="1:16" ht="15" customHeight="1" x14ac:dyDescent="0.25">
      <c r="A37" s="185"/>
      <c r="B37" s="436"/>
      <c r="C37" s="408"/>
      <c r="D37" s="500"/>
      <c r="E37" s="500"/>
      <c r="F37" s="502"/>
      <c r="G37" s="502"/>
      <c r="N37" s="501"/>
    </row>
    <row r="38" spans="1:16" x14ac:dyDescent="0.25">
      <c r="G38" s="93"/>
      <c r="P38" s="16"/>
    </row>
    <row r="39" spans="1:16" x14ac:dyDescent="0.25">
      <c r="C39" s="498"/>
      <c r="D39" s="51"/>
      <c r="P39" s="16"/>
    </row>
    <row r="40" spans="1:16" x14ac:dyDescent="0.25">
      <c r="B40" s="16"/>
      <c r="C40" s="16"/>
      <c r="D40" s="16"/>
      <c r="E40" s="16"/>
      <c r="F40" s="16"/>
      <c r="G40" s="354"/>
    </row>
    <row r="41" spans="1:16" x14ac:dyDescent="0.25">
      <c r="B41" s="16"/>
      <c r="D41" s="16"/>
      <c r="E41" s="16"/>
      <c r="F41" s="471"/>
      <c r="G41" s="354"/>
    </row>
    <row r="42" spans="1:16" x14ac:dyDescent="0.25">
      <c r="B42" s="16"/>
      <c r="C42" s="58"/>
      <c r="D42" s="64"/>
      <c r="E42" s="470"/>
      <c r="F42" s="471"/>
    </row>
    <row r="43" spans="1:16" x14ac:dyDescent="0.25">
      <c r="B43" s="16"/>
      <c r="C43" s="58"/>
      <c r="D43" s="64"/>
      <c r="E43" s="470"/>
      <c r="F43" s="471"/>
    </row>
    <row r="44" spans="1:16" x14ac:dyDescent="0.25">
      <c r="B44" s="16"/>
      <c r="C44" s="58"/>
      <c r="D44" s="64"/>
      <c r="E44" s="470"/>
      <c r="F44" s="471"/>
    </row>
    <row r="45" spans="1:16" x14ac:dyDescent="0.25">
      <c r="B45" s="16"/>
      <c r="C45" s="58"/>
      <c r="D45" s="504"/>
      <c r="E45" s="470"/>
      <c r="F45" s="471"/>
    </row>
    <row r="46" spans="1:16" x14ac:dyDescent="0.25">
      <c r="A46" s="185"/>
      <c r="B46" s="436"/>
      <c r="C46" s="408"/>
      <c r="D46" s="500"/>
      <c r="E46" s="472"/>
      <c r="F46" s="502"/>
      <c r="G46" s="502"/>
    </row>
  </sheetData>
  <sheetProtection algorithmName="SHA-512" hashValue="hSoQZLIQx2wVyNJ4FC85HNyV0PQd0rJC/JIckQNTpZWiJF0ejg4uQdbY9TOkNPhZAJzOUIWw8ZlslBMw4XgRhw==" saltValue="1zbd54TFQpv1TZr+zaK0ag==" spinCount="100000" sheet="1" selectLockedCells="1"/>
  <mergeCells count="1">
    <mergeCell ref="C1:E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6F00-6B83-4ECF-B044-79DE9FE603CB}">
  <dimension ref="A1:S39"/>
  <sheetViews>
    <sheetView topLeftCell="A7" zoomScale="115" zoomScaleNormal="115" workbookViewId="0">
      <selection activeCell="C34" sqref="C34"/>
    </sheetView>
  </sheetViews>
  <sheetFormatPr defaultColWidth="9.28515625" defaultRowHeight="15" x14ac:dyDescent="0.25"/>
  <cols>
    <col min="1" max="1" width="15" style="13" customWidth="1"/>
    <col min="2" max="2" width="10.7109375" style="58" customWidth="1"/>
    <col min="3" max="3" width="11.7109375" style="58" customWidth="1"/>
    <col min="4" max="4" width="9.7109375" style="58" customWidth="1"/>
    <col min="5" max="5" width="10.5703125" style="58" customWidth="1"/>
    <col min="6" max="6" width="12.28515625" style="58" customWidth="1"/>
    <col min="7" max="7" width="10.42578125" style="58" customWidth="1"/>
    <col min="8" max="8" width="10.42578125" style="64" customWidth="1"/>
    <col min="9" max="9" width="10.28515625" style="52" customWidth="1"/>
    <col min="10" max="10" width="10" style="52" customWidth="1"/>
    <col min="11" max="11" width="8.28515625" style="52" customWidth="1"/>
    <col min="12" max="12" width="8.7109375" style="52" customWidth="1"/>
    <col min="13" max="13" width="5.85546875" style="52" customWidth="1"/>
    <col min="14" max="14" width="7.7109375" style="16" customWidth="1"/>
    <col min="15" max="15" width="9.140625" style="13" customWidth="1"/>
    <col min="16" max="16384" width="9.28515625" style="13"/>
  </cols>
  <sheetData>
    <row r="1" spans="1:19" ht="18.75" x14ac:dyDescent="0.3">
      <c r="A1"/>
      <c r="B1" s="18"/>
      <c r="C1" s="18"/>
      <c r="D1" s="18"/>
      <c r="E1" s="329" t="s">
        <v>543</v>
      </c>
      <c r="F1" s="329"/>
      <c r="G1" s="289"/>
      <c r="H1" s="329"/>
      <c r="I1" s="319"/>
      <c r="J1" s="319"/>
      <c r="K1" s="66"/>
      <c r="L1" s="66"/>
      <c r="M1" s="319"/>
      <c r="N1" s="17"/>
    </row>
    <row r="2" spans="1:19" ht="16.5" x14ac:dyDescent="0.25">
      <c r="A2"/>
      <c r="C2" s="18"/>
      <c r="D2" s="178" t="s">
        <v>380</v>
      </c>
      <c r="E2" s="119">
        <v>33.719700000000003</v>
      </c>
      <c r="F2" s="178" t="s">
        <v>381</v>
      </c>
      <c r="G2" s="120">
        <v>87.870500000000007</v>
      </c>
      <c r="H2" s="178" t="s">
        <v>468</v>
      </c>
      <c r="I2" s="119">
        <v>324</v>
      </c>
      <c r="J2" s="319"/>
      <c r="K2" s="319"/>
      <c r="L2" s="319"/>
      <c r="M2" s="319"/>
      <c r="N2" s="17"/>
    </row>
    <row r="3" spans="1:19" ht="15" customHeight="1" x14ac:dyDescent="0.25">
      <c r="A3" s="1" t="s">
        <v>0</v>
      </c>
      <c r="B3" s="310"/>
      <c r="C3" s="118"/>
      <c r="D3" s="118"/>
      <c r="E3" s="401"/>
      <c r="F3" s="422" t="s">
        <v>560</v>
      </c>
      <c r="G3" s="418">
        <v>1</v>
      </c>
      <c r="H3" s="418">
        <v>2</v>
      </c>
      <c r="I3" s="418">
        <v>3</v>
      </c>
      <c r="J3" s="418">
        <v>4</v>
      </c>
      <c r="K3" s="418">
        <v>1</v>
      </c>
      <c r="L3" s="418">
        <v>2</v>
      </c>
      <c r="M3" s="418">
        <v>3</v>
      </c>
      <c r="N3" s="418">
        <v>4</v>
      </c>
      <c r="P3" s="429"/>
      <c r="Q3" s="429"/>
      <c r="R3" s="429"/>
      <c r="S3" s="429"/>
    </row>
    <row r="4" spans="1:19" ht="15.75" x14ac:dyDescent="0.25">
      <c r="A4" s="173" t="s">
        <v>4</v>
      </c>
      <c r="B4" s="313" t="s">
        <v>108</v>
      </c>
      <c r="C4" s="314"/>
      <c r="E4" s="285" t="s">
        <v>556</v>
      </c>
      <c r="F4" s="400" t="s">
        <v>576</v>
      </c>
      <c r="G4" s="423" t="s">
        <v>561</v>
      </c>
      <c r="H4" s="423" t="s">
        <v>562</v>
      </c>
      <c r="I4" s="423" t="s">
        <v>563</v>
      </c>
      <c r="J4" s="423" t="s">
        <v>564</v>
      </c>
      <c r="K4" s="319"/>
      <c r="L4" s="319"/>
      <c r="M4" s="319"/>
      <c r="N4" s="242"/>
      <c r="P4" s="429"/>
      <c r="Q4" s="429"/>
      <c r="R4" s="429"/>
      <c r="S4" s="429"/>
    </row>
    <row r="5" spans="1:19" ht="15.75" x14ac:dyDescent="0.25">
      <c r="A5" s="1" t="s">
        <v>173</v>
      </c>
      <c r="B5" s="310" t="s">
        <v>108</v>
      </c>
      <c r="C5" s="225"/>
      <c r="D5" s="225"/>
      <c r="E5" s="14" t="s">
        <v>557</v>
      </c>
      <c r="F5" s="168" t="s">
        <v>244</v>
      </c>
      <c r="G5" s="424"/>
      <c r="H5" s="467" t="s">
        <v>559</v>
      </c>
      <c r="I5" s="466"/>
      <c r="J5" s="425"/>
      <c r="K5" s="432"/>
      <c r="L5" s="168" t="s">
        <v>568</v>
      </c>
      <c r="M5" s="319"/>
      <c r="N5" s="17"/>
      <c r="P5" s="430"/>
      <c r="Q5" s="430"/>
      <c r="R5" s="430"/>
      <c r="S5" s="430"/>
    </row>
    <row r="6" spans="1:19" ht="15" customHeight="1" x14ac:dyDescent="0.35">
      <c r="A6" s="1" t="s">
        <v>118</v>
      </c>
      <c r="B6" s="117" t="s">
        <v>247</v>
      </c>
      <c r="C6" s="225"/>
      <c r="E6" s="428" t="s">
        <v>541</v>
      </c>
      <c r="F6" s="420" t="s">
        <v>245</v>
      </c>
      <c r="G6" s="426" t="s">
        <v>565</v>
      </c>
      <c r="H6" s="426" t="s">
        <v>565</v>
      </c>
      <c r="I6" s="426" t="s">
        <v>565</v>
      </c>
      <c r="J6" s="426" t="s">
        <v>565</v>
      </c>
      <c r="K6" s="236" t="s">
        <v>544</v>
      </c>
      <c r="L6" s="236" t="s">
        <v>544</v>
      </c>
      <c r="M6" s="236" t="s">
        <v>544</v>
      </c>
      <c r="N6" s="236" t="s">
        <v>544</v>
      </c>
      <c r="P6" s="49"/>
      <c r="Q6" s="49"/>
      <c r="R6" s="49"/>
      <c r="S6" s="49"/>
    </row>
    <row r="7" spans="1:19" x14ac:dyDescent="0.25">
      <c r="A7" s="175" t="s">
        <v>164</v>
      </c>
      <c r="B7" s="309"/>
      <c r="C7" s="227"/>
      <c r="E7" s="409" t="s">
        <v>144</v>
      </c>
      <c r="F7" s="72" t="s">
        <v>198</v>
      </c>
      <c r="G7" s="407" t="s">
        <v>197</v>
      </c>
      <c r="H7" s="407" t="s">
        <v>197</v>
      </c>
      <c r="I7" s="407" t="s">
        <v>197</v>
      </c>
      <c r="J7" s="407" t="s">
        <v>197</v>
      </c>
      <c r="K7" s="409" t="s">
        <v>144</v>
      </c>
      <c r="L7" s="409" t="s">
        <v>144</v>
      </c>
      <c r="M7" s="409" t="s">
        <v>144</v>
      </c>
      <c r="N7" s="409" t="s">
        <v>144</v>
      </c>
      <c r="S7" s="431"/>
    </row>
    <row r="8" spans="1:19" x14ac:dyDescent="0.25">
      <c r="A8" s="1" t="s">
        <v>10</v>
      </c>
      <c r="B8" s="310" t="s">
        <v>584</v>
      </c>
      <c r="C8" s="227"/>
      <c r="D8" s="225"/>
      <c r="E8" s="410">
        <v>50</v>
      </c>
      <c r="F8" s="399">
        <v>2</v>
      </c>
      <c r="G8" s="427">
        <f>IF(ISNUMBER($B$13),235*$B$13^0.668,"")</f>
        <v>6069.9067836950744</v>
      </c>
      <c r="H8" s="427">
        <f>IF(ISNUMBER($B$13),215*$B$13^0.637,"")</f>
        <v>4775.5167791932145</v>
      </c>
      <c r="I8" s="427">
        <f>IF(ISNUMBER($B$13),461*$B$13^0.492,"")</f>
        <v>5055.4643795241545</v>
      </c>
      <c r="J8" s="427">
        <f>IF(ISNUMBER($B$13),242*$B$13^0.568)</f>
        <v>3841.8038735453833</v>
      </c>
      <c r="K8" s="59">
        <v>29</v>
      </c>
      <c r="L8" s="59">
        <v>51</v>
      </c>
      <c r="M8" s="398">
        <v>35</v>
      </c>
      <c r="N8" s="17">
        <v>19</v>
      </c>
      <c r="S8" s="64"/>
    </row>
    <row r="9" spans="1:19" x14ac:dyDescent="0.25">
      <c r="A9" t="s">
        <v>395</v>
      </c>
      <c r="B9" s="311">
        <v>42820</v>
      </c>
      <c r="C9" s="227"/>
      <c r="D9" s="13"/>
      <c r="E9" s="54">
        <v>20</v>
      </c>
      <c r="F9" s="17">
        <v>5</v>
      </c>
      <c r="G9" s="427">
        <f>IF(ISNUMBER($B$13),424*$B$13^0.646,"")</f>
        <v>9839.5052590087016</v>
      </c>
      <c r="H9" s="427">
        <f>IF(ISNUMBER($B$13),340*$B$13^0.646,"")</f>
        <v>7890.1693114692416</v>
      </c>
      <c r="I9" s="427">
        <f>IF(ISNUMBER($B$13),805*$B$13^0.503,"")</f>
        <v>9313.4242491855166</v>
      </c>
      <c r="J9" s="427">
        <f>IF(ISNUMBER($B$13),455*$B$13^0.565,"")</f>
        <v>7118.5147737826464</v>
      </c>
      <c r="K9" s="59">
        <v>27</v>
      </c>
      <c r="L9" s="59">
        <v>38</v>
      </c>
      <c r="M9" s="398">
        <v>21</v>
      </c>
      <c r="N9" s="17">
        <v>12</v>
      </c>
      <c r="S9" s="64"/>
    </row>
    <row r="10" spans="1:19" x14ac:dyDescent="0.25">
      <c r="A10" s="33" t="s">
        <v>122</v>
      </c>
      <c r="B10" s="316" t="s">
        <v>2</v>
      </c>
      <c r="C10" s="227"/>
      <c r="E10" s="54">
        <v>10</v>
      </c>
      <c r="F10" s="17">
        <v>10</v>
      </c>
      <c r="G10" s="427">
        <f>IF(ISNUMBER($B$13),568*$B$13^0.638,"")</f>
        <v>12677.808706495107</v>
      </c>
      <c r="H10" s="427">
        <f>IF(ISNUMBER($B$13),437*$B$13^0.65,"")</f>
        <v>10340.573263725621</v>
      </c>
      <c r="I10" s="427">
        <f>IF(ISNUMBER($B$13),1094*$B$13^0.51,"")</f>
        <v>13095.691378891159</v>
      </c>
      <c r="J10" s="427">
        <f>IF(ISNUMBER($B$13),641*$B$13^0.562,"")</f>
        <v>9883.1228434937275</v>
      </c>
      <c r="K10" s="59">
        <v>27</v>
      </c>
      <c r="L10" s="59">
        <v>32</v>
      </c>
      <c r="M10" s="398">
        <v>15</v>
      </c>
      <c r="N10" s="17">
        <v>9</v>
      </c>
      <c r="S10" s="64"/>
    </row>
    <row r="11" spans="1:19" x14ac:dyDescent="0.25">
      <c r="A11" t="s">
        <v>626</v>
      </c>
      <c r="B11" s="18" t="s">
        <v>497</v>
      </c>
      <c r="E11" s="54">
        <v>4</v>
      </c>
      <c r="F11" s="17">
        <v>25</v>
      </c>
      <c r="G11" s="427">
        <f>IF(ISNUMBER($B$13),762*$B$13^0.632,"")</f>
        <v>16518.369247563685</v>
      </c>
      <c r="H11" s="427">
        <f>IF(ISNUMBER($B$13),570*$B$13^0.653,"")</f>
        <v>13686.104909937578</v>
      </c>
      <c r="I11" s="427">
        <f>IF(ISNUMBER($B$13),1439*$B$13^0.525,"")</f>
        <v>18530.240411579616</v>
      </c>
      <c r="J11" s="427">
        <f>IF(ISNUMBER($B$13),908*$B$13^0.56,"")</f>
        <v>13864.178007429751</v>
      </c>
      <c r="K11" s="59">
        <v>28</v>
      </c>
      <c r="L11" s="59">
        <v>28</v>
      </c>
      <c r="M11" s="398">
        <v>12</v>
      </c>
      <c r="N11" s="17">
        <v>11</v>
      </c>
      <c r="S11" s="64"/>
    </row>
    <row r="12" spans="1:19" ht="15" customHeight="1" x14ac:dyDescent="0.25">
      <c r="A12" s="33" t="s">
        <v>627</v>
      </c>
      <c r="B12" s="118" t="s">
        <v>633</v>
      </c>
      <c r="E12" s="54">
        <v>2</v>
      </c>
      <c r="F12" s="17">
        <v>50</v>
      </c>
      <c r="G12" s="427">
        <f>IF(ISNUMBER($B$13),916*$B$13^0.63,"")</f>
        <v>19664.358608860333</v>
      </c>
      <c r="H12" s="427">
        <f>IF(ISNUMBER($B$13),668*$B$13^0.657,"")</f>
        <v>16354.499013356224</v>
      </c>
      <c r="I12" s="427">
        <f>IF(ISNUMBER($B$13),1687*$B$13^0.538,"")</f>
        <v>23142.837511517177</v>
      </c>
      <c r="J12" s="427">
        <f>IF(ISNUMBER($B$13),1135*$B$13^0.56,"")</f>
        <v>17330.222509287189</v>
      </c>
      <c r="K12" s="59">
        <v>28</v>
      </c>
      <c r="L12" s="59">
        <v>27</v>
      </c>
      <c r="M12" s="59">
        <v>11</v>
      </c>
      <c r="N12" s="17">
        <v>12</v>
      </c>
      <c r="S12" s="64"/>
    </row>
    <row r="13" spans="1:19" ht="17.25" x14ac:dyDescent="0.25">
      <c r="A13" s="33" t="s">
        <v>226</v>
      </c>
      <c r="B13" s="118">
        <v>130</v>
      </c>
      <c r="D13" s="64"/>
      <c r="E13" s="54">
        <v>1</v>
      </c>
      <c r="F13" s="17">
        <v>100</v>
      </c>
      <c r="G13" s="427">
        <f>IF(ISNUMBER($B$13),1076*$B$13^0.628,"")</f>
        <v>22875.399983488529</v>
      </c>
      <c r="H13" s="427">
        <f>IF(ISNUMBER($B$13),794*$B$13^0.655,"")</f>
        <v>19251.004617871084</v>
      </c>
      <c r="I13" s="427">
        <f>IF(ISNUMBER($B$13),1901*$B$13^0.553,"")</f>
        <v>28053.870680075834</v>
      </c>
      <c r="J13" s="427">
        <f>IF(ISNUMBER($B$13),1380*$B$13^0.561,"")</f>
        <v>21173.921909447559</v>
      </c>
      <c r="K13" s="59">
        <v>29</v>
      </c>
      <c r="L13" s="59">
        <v>25</v>
      </c>
      <c r="M13" s="398">
        <v>12</v>
      </c>
      <c r="N13" s="17">
        <v>14</v>
      </c>
      <c r="S13" s="64"/>
    </row>
    <row r="14" spans="1:19" ht="15.75" x14ac:dyDescent="0.25">
      <c r="A14" s="338" t="s">
        <v>238</v>
      </c>
      <c r="B14" s="465" t="s">
        <v>249</v>
      </c>
      <c r="D14" s="64"/>
      <c r="E14" s="54">
        <v>0.5</v>
      </c>
      <c r="F14" s="17">
        <v>200</v>
      </c>
      <c r="G14" s="427">
        <f>IF(ISNUMBER($B$13),1239*$B$13^0.627,"")</f>
        <v>26212.822595411719</v>
      </c>
      <c r="H14" s="427">
        <f>IF(ISNUMBER($B$13),920*$B$13^0.655,"")</f>
        <v>22305.949935064735</v>
      </c>
      <c r="I14" s="427">
        <f>IF(ISNUMBER($B$13),2109*$B$13^0.568,"")</f>
        <v>33480.844501269479</v>
      </c>
      <c r="J14" s="427">
        <f>IF(ISNUMBER($B$13),1648*$B$13^0.563,"")</f>
        <v>25533.321562860972</v>
      </c>
      <c r="K14" s="59">
        <v>30</v>
      </c>
      <c r="L14" s="59">
        <v>27</v>
      </c>
      <c r="M14" s="398">
        <v>13</v>
      </c>
      <c r="N14" s="17">
        <v>17</v>
      </c>
      <c r="S14" s="64"/>
    </row>
    <row r="15" spans="1:19" x14ac:dyDescent="0.25">
      <c r="A15"/>
      <c r="B15" s="64"/>
      <c r="C15" s="64"/>
      <c r="D15" s="64"/>
      <c r="E15" s="54">
        <v>0.2</v>
      </c>
      <c r="F15" s="17">
        <v>500</v>
      </c>
      <c r="G15" s="427">
        <f>IF(ISNUMBER($B$13),1462*($B$13)^0.627,"")</f>
        <v>30930.707533891793</v>
      </c>
      <c r="H15" s="427">
        <f>IF(ISNUMBER($B$13),1109*$B$13^0.654,"")</f>
        <v>26757.80586913319</v>
      </c>
      <c r="I15" s="427">
        <f>IF(ISNUMBER($B$13),2388*$B$13^0.586,"")</f>
        <v>41381.394992138783</v>
      </c>
      <c r="J15" s="427">
        <f>IF(ISNUMBER($B$13),2032*$B$13^0.567)</f>
        <v>32101.814760229856</v>
      </c>
      <c r="K15" s="59">
        <v>32</v>
      </c>
      <c r="L15" s="59">
        <v>31</v>
      </c>
      <c r="M15" s="398">
        <v>15</v>
      </c>
      <c r="N15" s="17">
        <v>21</v>
      </c>
      <c r="S15" s="64"/>
    </row>
    <row r="16" spans="1:19" x14ac:dyDescent="0.25">
      <c r="A16" s="59"/>
      <c r="B16" s="59"/>
      <c r="C16" s="59"/>
      <c r="D16" s="59"/>
      <c r="E16" s="59"/>
      <c r="F16" s="18"/>
      <c r="G16" s="59"/>
      <c r="H16" s="59"/>
      <c r="I16" s="319"/>
      <c r="J16" s="325"/>
      <c r="K16" s="319"/>
      <c r="L16" s="319"/>
      <c r="M16" s="319"/>
      <c r="N16" s="59"/>
    </row>
    <row r="17" spans="1:16" ht="15.75" x14ac:dyDescent="0.25">
      <c r="A17"/>
      <c r="B17" s="536"/>
      <c r="C17" s="18"/>
      <c r="D17" s="434" t="s">
        <v>567</v>
      </c>
      <c r="E17" s="18"/>
      <c r="F17" s="402"/>
      <c r="G17" s="36" t="s">
        <v>566</v>
      </c>
      <c r="H17" s="59"/>
      <c r="I17" s="424" t="s">
        <v>367</v>
      </c>
      <c r="J17" s="424" t="s">
        <v>367</v>
      </c>
      <c r="K17" s="424" t="s">
        <v>367</v>
      </c>
      <c r="L17" s="424" t="s">
        <v>367</v>
      </c>
      <c r="M17"/>
      <c r="N17" s="43"/>
    </row>
    <row r="18" spans="1:16" ht="15.75" x14ac:dyDescent="0.25">
      <c r="A18"/>
      <c r="B18" s="55"/>
      <c r="C18"/>
      <c r="D18" s="36" t="s">
        <v>574</v>
      </c>
      <c r="E18" s="18"/>
      <c r="F18" s="402"/>
      <c r="G18" s="285" t="s">
        <v>556</v>
      </c>
      <c r="H18" s="7" t="s">
        <v>244</v>
      </c>
      <c r="I18" s="406" t="s">
        <v>546</v>
      </c>
      <c r="J18" s="406" t="s">
        <v>546</v>
      </c>
      <c r="K18" s="406" t="s">
        <v>546</v>
      </c>
      <c r="L18" s="406" t="s">
        <v>546</v>
      </c>
      <c r="M18"/>
      <c r="N18" s="43"/>
    </row>
    <row r="19" spans="1:16" ht="15.75" x14ac:dyDescent="0.25">
      <c r="A19"/>
      <c r="B19"/>
      <c r="C19"/>
      <c r="D19" s="464" t="s">
        <v>420</v>
      </c>
      <c r="E19" s="18"/>
      <c r="F19" s="285"/>
      <c r="G19" s="14" t="s">
        <v>557</v>
      </c>
      <c r="H19" s="7" t="s">
        <v>245</v>
      </c>
      <c r="I19" s="406" t="s">
        <v>545</v>
      </c>
      <c r="J19" s="406" t="s">
        <v>547</v>
      </c>
      <c r="K19" s="406" t="s">
        <v>548</v>
      </c>
      <c r="L19" s="406" t="s">
        <v>549</v>
      </c>
      <c r="M19"/>
      <c r="N19" s="43"/>
    </row>
    <row r="20" spans="1:16" x14ac:dyDescent="0.25">
      <c r="A20" s="19" t="s">
        <v>10</v>
      </c>
      <c r="B20" s="225"/>
      <c r="C20" s="225" t="s">
        <v>625</v>
      </c>
      <c r="D20" s="225"/>
      <c r="E20" s="225"/>
      <c r="G20" s="428" t="s">
        <v>541</v>
      </c>
      <c r="H20" s="82" t="s">
        <v>198</v>
      </c>
      <c r="I20" s="82" t="s">
        <v>201</v>
      </c>
      <c r="J20" s="82" t="s">
        <v>201</v>
      </c>
      <c r="K20" s="82" t="s">
        <v>201</v>
      </c>
      <c r="L20" s="82" t="s">
        <v>201</v>
      </c>
      <c r="M20" s="13"/>
      <c r="N20" s="354"/>
    </row>
    <row r="21" spans="1:16" ht="15" customHeight="1" x14ac:dyDescent="0.25">
      <c r="A21" s="36" t="s">
        <v>408</v>
      </c>
      <c r="B21"/>
      <c r="C21" s="62" t="s">
        <v>203</v>
      </c>
      <c r="D21" s="18"/>
      <c r="E21" s="18"/>
      <c r="F21" s="18"/>
      <c r="G21" s="410">
        <v>50</v>
      </c>
      <c r="H21" s="43">
        <v>2</v>
      </c>
      <c r="I21" s="531" t="str">
        <f t="shared" ref="I21:I26" si="0">IF(ISNUMBER($D$27),($D$27*G8),"")</f>
        <v/>
      </c>
      <c r="J21" s="532" t="str">
        <f>IF(ISNUMBER($D$27),($D$27*H8),"")</f>
        <v/>
      </c>
      <c r="K21" s="532" t="str">
        <f>IF(ISNUMBER($D$27),($D$27*I8),"")</f>
        <v/>
      </c>
      <c r="L21" s="532" t="str">
        <f>IF(ISNUMBER($D$27),($D$27*J8),"")</f>
        <v/>
      </c>
      <c r="M21" s="13"/>
      <c r="N21" s="354"/>
    </row>
    <row r="22" spans="1:16" ht="15" customHeight="1" x14ac:dyDescent="0.25">
      <c r="A22" s="33" t="s">
        <v>226</v>
      </c>
      <c r="B22" s="19"/>
      <c r="C22" s="534"/>
      <c r="D22" t="s">
        <v>685</v>
      </c>
      <c r="E22" s="18"/>
      <c r="F22" s="18"/>
      <c r="G22" s="54">
        <v>20</v>
      </c>
      <c r="H22" s="43">
        <v>5</v>
      </c>
      <c r="I22" s="531" t="str">
        <f t="shared" si="0"/>
        <v/>
      </c>
      <c r="J22" s="532" t="str">
        <f>IF(ISNUMBER($D$27),($D$27*H9),"")</f>
        <v/>
      </c>
      <c r="K22" s="532" t="str">
        <f t="shared" ref="J22:K28" si="1">IF(ISNUMBER($D$27),($D$27*I9),"")</f>
        <v/>
      </c>
      <c r="L22" s="532" t="str">
        <f>IF(ISNUMBER($D$27),($D$27*J9),"")</f>
        <v/>
      </c>
      <c r="M22" s="13"/>
      <c r="N22" s="354"/>
    </row>
    <row r="23" spans="1:16" x14ac:dyDescent="0.25">
      <c r="A23" t="s">
        <v>406</v>
      </c>
      <c r="B23" s="18"/>
      <c r="C23" s="62" t="s">
        <v>204</v>
      </c>
      <c r="G23" s="54">
        <v>10</v>
      </c>
      <c r="H23" s="43">
        <v>10</v>
      </c>
      <c r="I23" s="531" t="str">
        <f t="shared" si="0"/>
        <v/>
      </c>
      <c r="J23" s="532" t="str">
        <f t="shared" si="1"/>
        <v/>
      </c>
      <c r="K23" s="532" t="str">
        <f>IF(ISNUMBER($D$27),($D$27*I10),"")</f>
        <v/>
      </c>
      <c r="L23" s="532" t="str">
        <f t="shared" ref="L23:L28" si="2">IF(ISNUMBER($D$27),($D$27*J10),"")</f>
        <v/>
      </c>
      <c r="M23"/>
      <c r="N23" s="354"/>
    </row>
    <row r="24" spans="1:16" x14ac:dyDescent="0.25">
      <c r="A24" s="36" t="s">
        <v>637</v>
      </c>
      <c r="B24"/>
      <c r="C24" s="118">
        <v>7.5</v>
      </c>
      <c r="G24" s="54">
        <v>4</v>
      </c>
      <c r="H24" s="43">
        <v>25</v>
      </c>
      <c r="I24" s="531" t="str">
        <f t="shared" si="0"/>
        <v/>
      </c>
      <c r="J24" s="532" t="str">
        <f t="shared" si="1"/>
        <v/>
      </c>
      <c r="K24" s="532" t="str">
        <f>IF(ISNUMBER($D$27),($D$27*I11),"")</f>
        <v/>
      </c>
      <c r="L24" s="532" t="str">
        <f t="shared" si="2"/>
        <v/>
      </c>
      <c r="M24"/>
      <c r="N24" s="354"/>
    </row>
    <row r="25" spans="1:16" ht="15" customHeight="1" thickBot="1" x14ac:dyDescent="0.3">
      <c r="A25" s="14" t="s">
        <v>634</v>
      </c>
      <c r="B25" s="217"/>
      <c r="C25" s="239" t="str">
        <f>IF(ISNUMBER(C22),(2.66*C22^0.46*C24^-0.08),"")</f>
        <v/>
      </c>
      <c r="D25" s="408"/>
      <c r="E25" s="408"/>
      <c r="F25" s="408"/>
      <c r="G25" s="54">
        <v>2</v>
      </c>
      <c r="H25" s="262">
        <v>50</v>
      </c>
      <c r="I25" s="531" t="str">
        <f t="shared" si="0"/>
        <v/>
      </c>
      <c r="J25" s="531" t="str">
        <f t="shared" si="1"/>
        <v/>
      </c>
      <c r="K25" s="531" t="str">
        <f t="shared" si="1"/>
        <v/>
      </c>
      <c r="L25" s="531" t="str">
        <f t="shared" si="2"/>
        <v/>
      </c>
      <c r="M25"/>
      <c r="N25" s="354"/>
    </row>
    <row r="26" spans="1:16" ht="15" customHeight="1" thickTop="1" x14ac:dyDescent="0.25">
      <c r="A26" s="98" t="s">
        <v>369</v>
      </c>
      <c r="B26" s="217"/>
      <c r="C26" s="221"/>
      <c r="D26" s="240"/>
      <c r="E26" s="221"/>
      <c r="F26" s="221"/>
      <c r="G26" s="54">
        <v>1</v>
      </c>
      <c r="H26" s="43">
        <v>100</v>
      </c>
      <c r="I26" s="531" t="str">
        <f t="shared" si="0"/>
        <v/>
      </c>
      <c r="J26" s="532" t="str">
        <f>IF(ISNUMBER($D$27),($D$27*H13),"")</f>
        <v/>
      </c>
      <c r="K26" s="532" t="str">
        <f t="shared" si="1"/>
        <v/>
      </c>
      <c r="L26" s="532" t="str">
        <f>IF(ISNUMBER($D$27),($D$27*J13),"")</f>
        <v/>
      </c>
      <c r="M26"/>
      <c r="N26" s="354"/>
    </row>
    <row r="27" spans="1:16" ht="15" customHeight="1" x14ac:dyDescent="0.25">
      <c r="A27" s="320" t="s">
        <v>368</v>
      </c>
      <c r="B27"/>
      <c r="C27" s="18"/>
      <c r="D27" s="530" t="str">
        <f>IF(ISNUMBER(C22),(0.00169*C25)/C22,"0")</f>
        <v>0</v>
      </c>
      <c r="E27" s="18"/>
      <c r="F27" s="18"/>
      <c r="G27" s="54">
        <v>0.5</v>
      </c>
      <c r="H27" s="262">
        <v>200</v>
      </c>
      <c r="I27" s="531" t="str">
        <f>IF(ISNUMBER($D$27),($D$27*G14),"")</f>
        <v/>
      </c>
      <c r="J27" s="531" t="str">
        <f t="shared" si="1"/>
        <v/>
      </c>
      <c r="K27" s="531" t="str">
        <f t="shared" si="1"/>
        <v/>
      </c>
      <c r="L27" s="531" t="str">
        <f t="shared" si="2"/>
        <v/>
      </c>
      <c r="M27"/>
      <c r="N27" s="354"/>
    </row>
    <row r="28" spans="1:16" x14ac:dyDescent="0.25">
      <c r="A28" s="535"/>
      <c r="B28"/>
      <c r="C28" s="18"/>
      <c r="D28" s="55"/>
      <c r="E28" s="18"/>
      <c r="F28" s="18"/>
      <c r="G28" s="70">
        <v>0.2</v>
      </c>
      <c r="H28" s="407">
        <v>500</v>
      </c>
      <c r="I28" s="533" t="str">
        <f>IF(ISNUMBER($D$27),($D$27*G15),"")</f>
        <v/>
      </c>
      <c r="J28" s="533" t="str">
        <f t="shared" si="1"/>
        <v/>
      </c>
      <c r="K28" s="533" t="str">
        <f t="shared" si="1"/>
        <v/>
      </c>
      <c r="L28" s="533" t="str">
        <f t="shared" si="2"/>
        <v/>
      </c>
      <c r="M28"/>
      <c r="N28" s="354"/>
    </row>
    <row r="29" spans="1:16" ht="15.75" x14ac:dyDescent="0.25">
      <c r="A29"/>
      <c r="B29" s="18"/>
      <c r="C29" s="18"/>
      <c r="D29" s="464" t="s">
        <v>421</v>
      </c>
      <c r="E29" s="18"/>
      <c r="F29" s="285"/>
      <c r="G29" s="285" t="s">
        <v>556</v>
      </c>
      <c r="H29" s="6" t="s">
        <v>244</v>
      </c>
      <c r="I29" s="285" t="s">
        <v>546</v>
      </c>
      <c r="J29" s="285" t="s">
        <v>546</v>
      </c>
      <c r="K29" s="285" t="s">
        <v>546</v>
      </c>
      <c r="L29" s="285" t="s">
        <v>546</v>
      </c>
      <c r="M29"/>
    </row>
    <row r="30" spans="1:16" x14ac:dyDescent="0.25">
      <c r="A30" s="19" t="s">
        <v>242</v>
      </c>
      <c r="B30" s="225"/>
      <c r="C30" s="225" t="s">
        <v>584</v>
      </c>
      <c r="D30" s="225"/>
      <c r="E30" s="225"/>
      <c r="F30" s="49"/>
      <c r="G30" s="14" t="s">
        <v>557</v>
      </c>
      <c r="H30" s="6" t="s">
        <v>245</v>
      </c>
      <c r="I30" s="285" t="s">
        <v>545</v>
      </c>
      <c r="J30" s="285" t="s">
        <v>547</v>
      </c>
      <c r="K30" s="285" t="s">
        <v>548</v>
      </c>
      <c r="L30" s="285" t="s">
        <v>549</v>
      </c>
      <c r="M30" s="17"/>
      <c r="O30" s="16"/>
      <c r="P30" s="16"/>
    </row>
    <row r="31" spans="1:16" ht="15" customHeight="1" x14ac:dyDescent="0.25">
      <c r="A31" s="36" t="s">
        <v>408</v>
      </c>
      <c r="B31" s="19"/>
      <c r="C31" s="62" t="s">
        <v>205</v>
      </c>
      <c r="D31" s="62"/>
      <c r="E31" s="18"/>
      <c r="F31" s="18"/>
      <c r="G31" s="428" t="s">
        <v>541</v>
      </c>
      <c r="H31" s="72" t="s">
        <v>198</v>
      </c>
      <c r="I31" s="72" t="s">
        <v>201</v>
      </c>
      <c r="J31" s="72" t="s">
        <v>201</v>
      </c>
      <c r="K31" s="72" t="s">
        <v>201</v>
      </c>
      <c r="L31" s="72" t="s">
        <v>201</v>
      </c>
      <c r="M31"/>
    </row>
    <row r="32" spans="1:16" ht="15" customHeight="1" x14ac:dyDescent="0.25">
      <c r="A32" s="33" t="s">
        <v>226</v>
      </c>
      <c r="B32" s="19"/>
      <c r="C32" s="126">
        <v>130</v>
      </c>
      <c r="D32" t="s">
        <v>684</v>
      </c>
      <c r="E32" s="18"/>
      <c r="F32" s="18"/>
      <c r="G32" s="410">
        <v>50</v>
      </c>
      <c r="H32" s="17">
        <v>2</v>
      </c>
      <c r="I32" s="18">
        <f>IF(ISNUMBER($D$38),($D$38*G8),"")</f>
        <v>2.8554865703381469</v>
      </c>
      <c r="J32" s="18">
        <f>IF(ISNUMBER($D$38),($D$38*H8),"")</f>
        <v>2.2465623468948053</v>
      </c>
      <c r="K32" s="18">
        <f>IF(ISNUMBER($D$38),($D$38*I8),"")</f>
        <v>2.3782590337847416</v>
      </c>
      <c r="L32" s="18">
        <f>IF(ISNUMBER($D$38),($D$38*J8),"")</f>
        <v>1.8073126586144639</v>
      </c>
      <c r="M32"/>
    </row>
    <row r="33" spans="1:13" x14ac:dyDescent="0.25">
      <c r="A33" t="s">
        <v>406</v>
      </c>
      <c r="B33"/>
      <c r="C33" s="62" t="s">
        <v>207</v>
      </c>
      <c r="D33" s="13"/>
      <c r="G33" s="54">
        <v>20</v>
      </c>
      <c r="H33" s="17">
        <v>5</v>
      </c>
      <c r="I33" s="18">
        <f>IF(ISNUMBER($D$38),($D$38*G9),"")</f>
        <v>4.6288314017183376</v>
      </c>
      <c r="J33" s="18">
        <f t="shared" ref="J33:K37" si="3">IF(ISNUMBER($D$38),($D$38*H9),"")</f>
        <v>3.7117987655288558</v>
      </c>
      <c r="K33" s="18">
        <f>IF(ISNUMBER($D$38),($D$38*I9),"")</f>
        <v>4.3813453509448275</v>
      </c>
      <c r="L33" s="18">
        <f t="shared" ref="L33:L39" si="4">IF(ISNUMBER($D$38),($D$38*J9),"")</f>
        <v>3.3487867378609106</v>
      </c>
      <c r="M33"/>
    </row>
    <row r="34" spans="1:13" x14ac:dyDescent="0.25">
      <c r="A34" s="36" t="s">
        <v>637</v>
      </c>
      <c r="B34"/>
      <c r="C34" s="118">
        <v>10.3</v>
      </c>
      <c r="G34" s="54">
        <v>10</v>
      </c>
      <c r="H34" s="17">
        <v>10</v>
      </c>
      <c r="I34" s="18">
        <f>IF(ISNUMBER($D$38),($D$38*G10),"")</f>
        <v>5.9640639951764056</v>
      </c>
      <c r="J34" s="18">
        <f>IF(ISNUMBER($D$38),($D$38*H10),"")</f>
        <v>4.8645505007560157</v>
      </c>
      <c r="K34" s="18">
        <f>IF(ISNUMBER($D$38),($D$38*I10),"")</f>
        <v>6.1606499398253849</v>
      </c>
      <c r="L34" s="18">
        <f>IF(ISNUMBER($D$38),($D$38*J10),"")</f>
        <v>4.6493505680195639</v>
      </c>
      <c r="M34"/>
    </row>
    <row r="35" spans="1:13" ht="15" customHeight="1" thickBot="1" x14ac:dyDescent="0.3">
      <c r="A35" s="14" t="s">
        <v>634</v>
      </c>
      <c r="B35"/>
      <c r="C35" s="76">
        <f>IF(ISNUMBER(C32),(5.06*(C32^0.5)*C34^-0.2)," ")</f>
        <v>36.18718061584795</v>
      </c>
      <c r="D35" s="18"/>
      <c r="E35" s="18"/>
      <c r="F35" s="18"/>
      <c r="G35" s="54">
        <v>4</v>
      </c>
      <c r="H35" s="17">
        <v>25</v>
      </c>
      <c r="I35" s="18">
        <f t="shared" ref="I35:I39" si="5">IF(ISNUMBER($D$38),($D$38*G11),"")</f>
        <v>7.7707917487311216</v>
      </c>
      <c r="J35" s="18">
        <f t="shared" si="3"/>
        <v>6.4384001539436095</v>
      </c>
      <c r="K35" s="18">
        <f t="shared" si="3"/>
        <v>8.7172430361759119</v>
      </c>
      <c r="L35" s="18">
        <f t="shared" si="4"/>
        <v>6.5221716773866563</v>
      </c>
      <c r="M35"/>
    </row>
    <row r="36" spans="1:13" ht="15" customHeight="1" thickTop="1" x14ac:dyDescent="0.25">
      <c r="A36"/>
      <c r="B36" s="18"/>
      <c r="C36" s="18"/>
      <c r="D36" s="18"/>
      <c r="E36" s="18"/>
      <c r="F36" s="18"/>
      <c r="G36" s="54">
        <v>2</v>
      </c>
      <c r="H36" s="17">
        <v>50</v>
      </c>
      <c r="I36" s="18">
        <f t="shared" si="5"/>
        <v>9.2507700567572346</v>
      </c>
      <c r="J36" s="18">
        <f t="shared" si="3"/>
        <v>7.6937017258143747</v>
      </c>
      <c r="K36" s="18">
        <f>IF(ISNUMBER($D$38),($D$38*I12),"")</f>
        <v>10.887162532902412</v>
      </c>
      <c r="L36" s="18">
        <f t="shared" si="4"/>
        <v>8.1527145967333201</v>
      </c>
      <c r="M36"/>
    </row>
    <row r="37" spans="1:13" ht="15" customHeight="1" x14ac:dyDescent="0.25">
      <c r="A37" s="98" t="s">
        <v>369</v>
      </c>
      <c r="B37" s="217"/>
      <c r="C37" s="221"/>
      <c r="D37" s="221"/>
      <c r="E37" s="221"/>
      <c r="F37" s="221"/>
      <c r="G37" s="54">
        <v>1</v>
      </c>
      <c r="H37" s="220">
        <v>100</v>
      </c>
      <c r="I37" s="221">
        <f>IF(ISNUMBER($D$38),($D$38*G13),"")</f>
        <v>10.761351001209441</v>
      </c>
      <c r="J37" s="221">
        <f t="shared" si="3"/>
        <v>9.0563145548645103</v>
      </c>
      <c r="K37" s="221">
        <f t="shared" si="3"/>
        <v>13.197476308556091</v>
      </c>
      <c r="L37" s="221">
        <f t="shared" si="4"/>
        <v>9.9609189742795063</v>
      </c>
      <c r="M37"/>
    </row>
    <row r="38" spans="1:13" x14ac:dyDescent="0.25">
      <c r="A38" s="320" t="s">
        <v>368</v>
      </c>
      <c r="B38"/>
      <c r="C38" s="18"/>
      <c r="D38" s="520">
        <f>IF(ISNUMBER(C32),(0.00169*C35)/C32,"0")</f>
        <v>4.7043334800602339E-4</v>
      </c>
      <c r="E38" s="18"/>
      <c r="F38" s="18"/>
      <c r="G38" s="54">
        <v>0.5</v>
      </c>
      <c r="H38" s="17">
        <v>200</v>
      </c>
      <c r="I38" s="18">
        <f t="shared" si="5"/>
        <v>12.331385894247473</v>
      </c>
      <c r="J38" s="18">
        <f>IF(ISNUMBER($D$38),($D$38*H14),"")</f>
        <v>10.493462708407243</v>
      </c>
      <c r="K38" s="18">
        <f>IF(ISNUMBER($D$38),($D$38*I14),"")</f>
        <v>15.75050577280126</v>
      </c>
      <c r="L38" s="18">
        <f t="shared" si="4"/>
        <v>12.011725948531076</v>
      </c>
      <c r="M38"/>
    </row>
    <row r="39" spans="1:13" x14ac:dyDescent="0.25">
      <c r="C39" s="18"/>
      <c r="D39" s="18"/>
      <c r="E39" s="18"/>
      <c r="F39" s="18"/>
      <c r="G39" s="70">
        <v>0.2</v>
      </c>
      <c r="H39" s="407">
        <v>500</v>
      </c>
      <c r="I39" s="70">
        <f t="shared" si="5"/>
        <v>14.550836301363848</v>
      </c>
      <c r="J39" s="70">
        <f>IF(ISNUMBER($D$38),($D$38*H15),"")</f>
        <v>12.587764200311549</v>
      </c>
      <c r="K39" s="70">
        <f>IF(ISNUMBER($D$38),($D$38*I15),"")</f>
        <v>19.467188191311539</v>
      </c>
      <c r="L39" s="70">
        <f t="shared" si="4"/>
        <v>15.10176419472411</v>
      </c>
      <c r="M39" s="319"/>
    </row>
  </sheetData>
  <sheetProtection algorithmName="SHA-512" hashValue="tDoGbvyGpcgHEwt0pczys+DNu0KtXUnbmmMBvFUqWIU1FjdB+pZq0KsYAfzBbd9AQAyhGcjkgeG/fCc4x05MWg==" saltValue="LQ7ymnGDcmHq4jefgO8yHA==" spinCount="100000" sheet="1" objects="1" scenarios="1" selectLockedCells="1"/>
  <printOptions horizontalCentered="1"/>
  <pageMargins left="0.7" right="0.7" top="0.75" bottom="0.75" header="0.55000000000000004" footer="0.3"/>
  <pageSetup scale="85" pageOrder="overThenDown" orientation="landscape" r:id="rId1"/>
  <headerFooter>
    <oddHeader xml:space="preserve">&amp;C&amp;12
</oddHeader>
    <oddFooter>&amp;R&amp;T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2664-6D00-4D15-BAA0-1DF6624ECB8A}">
  <dimension ref="A1:G47"/>
  <sheetViews>
    <sheetView zoomScaleNormal="100" workbookViewId="0">
      <selection activeCell="B10" sqref="B10"/>
    </sheetView>
  </sheetViews>
  <sheetFormatPr defaultRowHeight="15" x14ac:dyDescent="0.25"/>
  <cols>
    <col min="1" max="1" width="17.85546875" style="13" bestFit="1" customWidth="1"/>
    <col min="2" max="2" width="19" style="13" bestFit="1" customWidth="1"/>
    <col min="3" max="3" width="7" style="13" bestFit="1" customWidth="1"/>
    <col min="4" max="4" width="10.85546875" style="16" bestFit="1" customWidth="1"/>
    <col min="5" max="5" width="9.28515625" style="13" customWidth="1"/>
    <col min="6" max="6" width="10.85546875" style="13" customWidth="1"/>
    <col min="7" max="8" width="9.85546875" style="13" bestFit="1" customWidth="1"/>
    <col min="9" max="16384" width="9.140625" style="13"/>
  </cols>
  <sheetData>
    <row r="1" spans="1:7" ht="18.75" x14ac:dyDescent="0.3">
      <c r="A1"/>
      <c r="B1"/>
      <c r="C1"/>
      <c r="D1" s="548" t="s">
        <v>640</v>
      </c>
      <c r="E1"/>
      <c r="F1"/>
      <c r="G1"/>
    </row>
    <row r="2" spans="1:7" ht="16.5" x14ac:dyDescent="0.25">
      <c r="A2" s="1" t="s">
        <v>0</v>
      </c>
      <c r="B2" s="117" t="s">
        <v>671</v>
      </c>
      <c r="C2" s="225"/>
      <c r="E2" s="178" t="s">
        <v>380</v>
      </c>
      <c r="F2" s="178" t="s">
        <v>381</v>
      </c>
      <c r="G2" s="178" t="s">
        <v>468</v>
      </c>
    </row>
    <row r="3" spans="1:7" x14ac:dyDescent="0.25">
      <c r="A3" s="1" t="s">
        <v>4</v>
      </c>
      <c r="B3" s="117" t="s">
        <v>669</v>
      </c>
      <c r="C3" s="118"/>
      <c r="E3" s="119">
        <v>32.459699999999998</v>
      </c>
      <c r="F3" s="120">
        <v>86.413200000000003</v>
      </c>
      <c r="G3" s="119">
        <v>289</v>
      </c>
    </row>
    <row r="4" spans="1:7" x14ac:dyDescent="0.25">
      <c r="A4" s="1" t="s">
        <v>173</v>
      </c>
      <c r="B4" s="117" t="s">
        <v>99</v>
      </c>
      <c r="C4" s="225"/>
      <c r="D4" s="17"/>
      <c r="E4"/>
      <c r="F4"/>
      <c r="G4" t="s">
        <v>648</v>
      </c>
    </row>
    <row r="5" spans="1:7" x14ac:dyDescent="0.25">
      <c r="A5" s="1" t="s">
        <v>118</v>
      </c>
      <c r="B5" s="333" t="s">
        <v>642</v>
      </c>
      <c r="C5" s="225"/>
      <c r="D5" s="17" t="s">
        <v>655</v>
      </c>
      <c r="E5" s="17" t="s">
        <v>648</v>
      </c>
      <c r="F5" t="s">
        <v>649</v>
      </c>
      <c r="G5" s="17" t="s">
        <v>144</v>
      </c>
    </row>
    <row r="6" spans="1:7" x14ac:dyDescent="0.25">
      <c r="A6" s="33" t="s">
        <v>164</v>
      </c>
      <c r="B6" s="310"/>
      <c r="C6" s="225"/>
      <c r="D6" s="72" t="s">
        <v>650</v>
      </c>
      <c r="E6" s="72" t="s">
        <v>651</v>
      </c>
      <c r="F6" s="72" t="s">
        <v>651</v>
      </c>
      <c r="G6" s="72" t="s">
        <v>697</v>
      </c>
    </row>
    <row r="7" spans="1:7" x14ac:dyDescent="0.25">
      <c r="A7" s="1" t="s">
        <v>10</v>
      </c>
      <c r="B7" s="335" t="s">
        <v>670</v>
      </c>
      <c r="C7" s="225"/>
      <c r="D7" s="17" t="s">
        <v>643</v>
      </c>
      <c r="E7" s="17">
        <v>0</v>
      </c>
      <c r="F7" s="17" t="s">
        <v>645</v>
      </c>
      <c r="G7" s="17" t="s">
        <v>635</v>
      </c>
    </row>
    <row r="8" spans="1:7" x14ac:dyDescent="0.25">
      <c r="A8" s="1" t="s">
        <v>184</v>
      </c>
      <c r="B8" s="298">
        <v>44475</v>
      </c>
      <c r="C8" s="225"/>
      <c r="D8" s="17" t="s">
        <v>644</v>
      </c>
      <c r="E8" s="17" t="s">
        <v>654</v>
      </c>
      <c r="F8" s="17" t="s">
        <v>652</v>
      </c>
      <c r="G8" t="s">
        <v>676</v>
      </c>
    </row>
    <row r="9" spans="1:7" x14ac:dyDescent="0.25">
      <c r="A9" s="33" t="s">
        <v>122</v>
      </c>
      <c r="B9" s="310" t="s">
        <v>2</v>
      </c>
      <c r="C9" s="225"/>
      <c r="D9" s="17" t="s">
        <v>646</v>
      </c>
      <c r="E9" s="17" t="s">
        <v>654</v>
      </c>
      <c r="F9" s="17" t="s">
        <v>647</v>
      </c>
      <c r="G9" s="17">
        <v>20</v>
      </c>
    </row>
    <row r="10" spans="1:7" x14ac:dyDescent="0.25">
      <c r="A10" s="33" t="s">
        <v>656</v>
      </c>
      <c r="B10" s="310" t="s">
        <v>657</v>
      </c>
      <c r="C10" s="225"/>
      <c r="D10" s="17"/>
      <c r="E10"/>
      <c r="F10" s="17"/>
      <c r="G10" s="17"/>
    </row>
    <row r="11" spans="1:7" ht="15.75" thickBot="1" x14ac:dyDescent="0.3">
      <c r="A11"/>
      <c r="D11" s="17"/>
      <c r="E11"/>
      <c r="F11"/>
      <c r="G11"/>
    </row>
    <row r="12" spans="1:7" x14ac:dyDescent="0.25">
      <c r="A12" s="545" t="s">
        <v>653</v>
      </c>
      <c r="B12" s="546" t="s">
        <v>171</v>
      </c>
      <c r="C12" s="546" t="s">
        <v>177</v>
      </c>
      <c r="D12" s="127" t="s">
        <v>177</v>
      </c>
      <c r="E12" s="127" t="s">
        <v>178</v>
      </c>
      <c r="F12" s="127" t="s">
        <v>168</v>
      </c>
      <c r="G12" s="129" t="s">
        <v>168</v>
      </c>
    </row>
    <row r="13" spans="1:7" ht="18" thickBot="1" x14ac:dyDescent="0.3">
      <c r="A13" s="481"/>
      <c r="B13" s="547"/>
      <c r="C13" s="547" t="s">
        <v>632</v>
      </c>
      <c r="D13" s="149" t="s">
        <v>169</v>
      </c>
      <c r="E13" s="149" t="s">
        <v>169</v>
      </c>
      <c r="F13" s="130" t="s">
        <v>163</v>
      </c>
      <c r="G13" s="370" t="s">
        <v>12</v>
      </c>
    </row>
    <row r="14" spans="1:7" x14ac:dyDescent="0.25">
      <c r="A14" s="200" t="s">
        <v>653</v>
      </c>
      <c r="B14" s="482" t="s">
        <v>658</v>
      </c>
      <c r="C14" s="482"/>
      <c r="D14" s="233"/>
      <c r="E14" s="233"/>
      <c r="F14" s="479"/>
      <c r="G14" s="476">
        <v>48.65</v>
      </c>
    </row>
    <row r="15" spans="1:7" x14ac:dyDescent="0.25">
      <c r="A15" s="200" t="s">
        <v>660</v>
      </c>
      <c r="B15" s="192"/>
      <c r="C15" s="192"/>
      <c r="D15" s="192"/>
      <c r="E15" s="192"/>
      <c r="F15" s="485"/>
      <c r="G15" s="484">
        <v>75.510000000000005</v>
      </c>
    </row>
    <row r="16" spans="1:7" x14ac:dyDescent="0.25">
      <c r="A16" s="200" t="s">
        <v>661</v>
      </c>
      <c r="B16" s="192"/>
      <c r="C16" s="192"/>
      <c r="D16" s="192"/>
      <c r="E16" s="192"/>
      <c r="F16" s="480"/>
      <c r="G16" s="484">
        <v>14.52</v>
      </c>
    </row>
    <row r="17" spans="1:7" x14ac:dyDescent="0.25">
      <c r="A17" s="200" t="s">
        <v>662</v>
      </c>
      <c r="B17" s="192"/>
      <c r="C17" s="192"/>
      <c r="D17" s="192"/>
      <c r="E17" s="192"/>
      <c r="F17" s="480"/>
      <c r="G17" s="484">
        <v>3.61</v>
      </c>
    </row>
    <row r="18" spans="1:7" x14ac:dyDescent="0.25">
      <c r="A18" s="200" t="s">
        <v>653</v>
      </c>
      <c r="B18" s="204" t="s">
        <v>673</v>
      </c>
      <c r="C18" s="192"/>
      <c r="D18" s="192"/>
      <c r="E18" s="192"/>
      <c r="F18" s="480"/>
      <c r="G18" s="484">
        <v>12.35</v>
      </c>
    </row>
    <row r="19" spans="1:7" x14ac:dyDescent="0.25">
      <c r="A19" s="200" t="s">
        <v>672</v>
      </c>
      <c r="B19" s="204" t="s">
        <v>674</v>
      </c>
      <c r="C19" s="192"/>
      <c r="D19" s="192"/>
      <c r="E19" s="192"/>
      <c r="F19" s="480"/>
      <c r="G19" s="484">
        <v>5.66</v>
      </c>
    </row>
    <row r="20" spans="1:7" x14ac:dyDescent="0.25">
      <c r="A20" s="200" t="s">
        <v>663</v>
      </c>
      <c r="B20" s="192"/>
      <c r="C20" s="192"/>
      <c r="D20" s="192"/>
      <c r="E20" s="192"/>
      <c r="F20" s="480"/>
      <c r="G20" s="484">
        <v>4.1100000000000003</v>
      </c>
    </row>
    <row r="21" spans="1:7" x14ac:dyDescent="0.25">
      <c r="A21" s="200" t="s">
        <v>664</v>
      </c>
      <c r="B21" s="192"/>
      <c r="C21" s="192"/>
      <c r="D21" s="192"/>
      <c r="E21" s="192"/>
      <c r="F21" s="480"/>
      <c r="G21" s="484">
        <v>7.14</v>
      </c>
    </row>
    <row r="22" spans="1:7" x14ac:dyDescent="0.25">
      <c r="A22" s="200" t="s">
        <v>659</v>
      </c>
      <c r="B22" s="192"/>
      <c r="C22" s="192"/>
      <c r="D22" s="192"/>
      <c r="E22" s="192"/>
      <c r="F22" s="480">
        <v>42303</v>
      </c>
      <c r="G22" s="484">
        <f t="shared" ref="G22:G28" si="0">F22/43560</f>
        <v>0.97114325068870522</v>
      </c>
    </row>
    <row r="23" spans="1:7" x14ac:dyDescent="0.25">
      <c r="A23" s="200" t="s">
        <v>668</v>
      </c>
      <c r="B23" s="192"/>
      <c r="C23" s="192"/>
      <c r="D23" s="192"/>
      <c r="E23" s="192"/>
      <c r="F23" s="485"/>
      <c r="G23" s="486"/>
    </row>
    <row r="24" spans="1:7" x14ac:dyDescent="0.25">
      <c r="A24" s="200" t="s">
        <v>641</v>
      </c>
      <c r="B24" s="192" t="s">
        <v>665</v>
      </c>
      <c r="C24" s="192"/>
      <c r="D24" s="192">
        <v>4802</v>
      </c>
      <c r="E24" s="192">
        <v>30</v>
      </c>
      <c r="F24" s="480">
        <f t="shared" ref="F24:F28" si="1">D24*E24</f>
        <v>144060</v>
      </c>
      <c r="G24" s="484">
        <f t="shared" si="0"/>
        <v>3.3071625344352618</v>
      </c>
    </row>
    <row r="25" spans="1:7" x14ac:dyDescent="0.25">
      <c r="A25" s="200" t="s">
        <v>641</v>
      </c>
      <c r="B25" s="192" t="s">
        <v>675</v>
      </c>
      <c r="C25" s="192"/>
      <c r="D25" s="192">
        <v>3144</v>
      </c>
      <c r="E25" s="192">
        <v>25</v>
      </c>
      <c r="F25" s="488">
        <f t="shared" si="1"/>
        <v>78600</v>
      </c>
      <c r="G25" s="484">
        <f t="shared" si="0"/>
        <v>1.8044077134986225</v>
      </c>
    </row>
    <row r="26" spans="1:7" x14ac:dyDescent="0.25">
      <c r="A26" s="200" t="s">
        <v>678</v>
      </c>
      <c r="B26" s="192" t="s">
        <v>682</v>
      </c>
      <c r="C26" s="192">
        <v>1.2060999999999999</v>
      </c>
      <c r="D26" s="192">
        <f>C26*5280</f>
        <v>6368.2079999999996</v>
      </c>
      <c r="E26" s="192">
        <v>60</v>
      </c>
      <c r="F26" s="489">
        <f t="shared" si="1"/>
        <v>382092.48</v>
      </c>
      <c r="G26" s="487">
        <f t="shared" si="0"/>
        <v>8.7716363636363628</v>
      </c>
    </row>
    <row r="27" spans="1:7" x14ac:dyDescent="0.25">
      <c r="A27" s="200" t="s">
        <v>668</v>
      </c>
      <c r="B27" s="192" t="s">
        <v>666</v>
      </c>
      <c r="C27" s="192"/>
      <c r="D27" s="192"/>
      <c r="E27" s="192"/>
      <c r="F27" s="480">
        <v>41154</v>
      </c>
      <c r="G27" s="484">
        <f t="shared" si="0"/>
        <v>0.94476584022038568</v>
      </c>
    </row>
    <row r="28" spans="1:7" x14ac:dyDescent="0.25">
      <c r="A28" s="200" t="s">
        <v>641</v>
      </c>
      <c r="B28" s="192" t="s">
        <v>667</v>
      </c>
      <c r="C28" s="192"/>
      <c r="D28" s="192">
        <v>1056</v>
      </c>
      <c r="E28" s="192">
        <v>20</v>
      </c>
      <c r="F28" s="480">
        <f t="shared" si="1"/>
        <v>21120</v>
      </c>
      <c r="G28" s="484">
        <f t="shared" si="0"/>
        <v>0.48484848484848486</v>
      </c>
    </row>
    <row r="29" spans="1:7" x14ac:dyDescent="0.25">
      <c r="A29" s="200"/>
      <c r="B29" s="192"/>
      <c r="C29" s="192"/>
      <c r="D29" s="192"/>
      <c r="E29" s="192"/>
      <c r="F29" s="488"/>
      <c r="G29" s="490"/>
    </row>
    <row r="30" spans="1:7" x14ac:dyDescent="0.25">
      <c r="A30" s="200"/>
      <c r="B30" s="192"/>
      <c r="C30" s="192"/>
      <c r="D30" s="192"/>
      <c r="E30" s="192"/>
      <c r="F30" s="480"/>
      <c r="G30" s="484"/>
    </row>
    <row r="31" spans="1:7" x14ac:dyDescent="0.25">
      <c r="A31" s="200"/>
      <c r="B31" s="192"/>
      <c r="C31" s="192"/>
      <c r="D31" s="192"/>
      <c r="E31" s="192"/>
      <c r="F31" s="480"/>
      <c r="G31" s="486"/>
    </row>
    <row r="32" spans="1:7" x14ac:dyDescent="0.25">
      <c r="A32" s="200"/>
      <c r="B32" s="192"/>
      <c r="C32" s="192"/>
      <c r="D32" s="192"/>
      <c r="E32" s="192"/>
      <c r="F32" s="479"/>
      <c r="G32" s="484"/>
    </row>
    <row r="33" spans="1:7" x14ac:dyDescent="0.25">
      <c r="A33" s="200"/>
      <c r="B33" s="192"/>
      <c r="C33" s="192"/>
      <c r="D33" s="192"/>
      <c r="E33" s="192"/>
      <c r="F33" s="485"/>
      <c r="G33" s="486"/>
    </row>
    <row r="34" spans="1:7" x14ac:dyDescent="0.25">
      <c r="A34" s="200"/>
      <c r="B34" s="192"/>
      <c r="C34" s="192"/>
      <c r="D34" s="192"/>
      <c r="E34" s="192"/>
      <c r="F34" s="480"/>
      <c r="G34" s="484"/>
    </row>
    <row r="35" spans="1:7" x14ac:dyDescent="0.25">
      <c r="A35" s="200"/>
      <c r="B35" s="192"/>
      <c r="C35" s="192"/>
      <c r="D35" s="192"/>
      <c r="E35" s="192"/>
      <c r="F35" s="479"/>
      <c r="G35" s="483"/>
    </row>
    <row r="36" spans="1:7" x14ac:dyDescent="0.25">
      <c r="A36" s="200"/>
      <c r="B36" s="192"/>
      <c r="C36" s="192"/>
      <c r="D36" s="192"/>
      <c r="E36" s="192"/>
      <c r="F36" s="480"/>
      <c r="G36" s="486"/>
    </row>
    <row r="37" spans="1:7" x14ac:dyDescent="0.25">
      <c r="A37" s="200"/>
      <c r="B37" s="192"/>
      <c r="C37" s="192"/>
      <c r="D37" s="192"/>
      <c r="E37" s="192"/>
      <c r="F37" s="479"/>
      <c r="G37" s="484"/>
    </row>
    <row r="38" spans="1:7" x14ac:dyDescent="0.25">
      <c r="A38" s="200"/>
      <c r="B38" s="192"/>
      <c r="C38" s="192"/>
      <c r="D38" s="192"/>
      <c r="E38" s="192"/>
      <c r="F38" s="480"/>
      <c r="G38" s="486"/>
    </row>
    <row r="39" spans="1:7" x14ac:dyDescent="0.25">
      <c r="A39" s="200"/>
      <c r="B39" s="191"/>
      <c r="C39" s="191"/>
      <c r="D39" s="191"/>
      <c r="E39" s="191"/>
      <c r="F39" s="479"/>
      <c r="G39" s="484"/>
    </row>
    <row r="40" spans="1:7" x14ac:dyDescent="0.25">
      <c r="A40" s="200"/>
      <c r="B40" s="191"/>
      <c r="C40" s="191"/>
      <c r="D40" s="191"/>
      <c r="E40" s="191"/>
      <c r="F40" s="479"/>
      <c r="G40" s="486"/>
    </row>
    <row r="41" spans="1:7" x14ac:dyDescent="0.25">
      <c r="A41" s="200"/>
      <c r="B41" s="191"/>
      <c r="C41" s="191"/>
      <c r="D41" s="191"/>
      <c r="E41" s="191"/>
      <c r="F41" s="479"/>
      <c r="G41" s="484"/>
    </row>
    <row r="42" spans="1:7" x14ac:dyDescent="0.25">
      <c r="A42" s="200"/>
      <c r="B42" s="191"/>
      <c r="C42" s="191"/>
      <c r="D42" s="191"/>
      <c r="E42" s="191"/>
      <c r="F42" s="479"/>
      <c r="G42" s="483"/>
    </row>
    <row r="43" spans="1:7" x14ac:dyDescent="0.25">
      <c r="A43" s="200"/>
      <c r="B43" s="191"/>
      <c r="C43" s="191"/>
      <c r="D43" s="191"/>
      <c r="E43" s="191"/>
      <c r="F43" s="479"/>
      <c r="G43" s="483"/>
    </row>
    <row r="44" spans="1:7" x14ac:dyDescent="0.25">
      <c r="F44" s="6" t="s">
        <v>523</v>
      </c>
      <c r="G44" s="528">
        <f>SUM(G14:G43)</f>
        <v>187.83396418732784</v>
      </c>
    </row>
    <row r="45" spans="1:7" x14ac:dyDescent="0.25">
      <c r="F45" t="s">
        <v>677</v>
      </c>
      <c r="G45" s="491">
        <v>570.70000000000005</v>
      </c>
    </row>
    <row r="46" spans="1:7" ht="15.75" thickBot="1" x14ac:dyDescent="0.3">
      <c r="E46" s="32"/>
      <c r="F46" s="17" t="s">
        <v>640</v>
      </c>
      <c r="G46" s="529">
        <f>G44/G45</f>
        <v>0.32912907690087229</v>
      </c>
    </row>
    <row r="47" spans="1:7" ht="15.75" thickTop="1" x14ac:dyDescent="0.25"/>
  </sheetData>
  <sheetProtection algorithmName="SHA-512" hashValue="7bC2YMK4ZVdg/Ty9k5l82cWB1ZrcWV+io3iCUryA/UL72R9ERQx8iTZUly/zTmp/BcJY2EkqqfzzA0Nj25xwqg==" saltValue="UjDAdnuA/M4VoQC0/p4a9Q==" spinCount="100000" sheet="1" objects="1" scenarios="1" selectLockedCells="1"/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ABA0-FC88-4037-9D82-0BCDE9AFF37C}">
  <dimension ref="A1:J46"/>
  <sheetViews>
    <sheetView zoomScaleNormal="100" workbookViewId="0">
      <selection activeCell="C28" sqref="C28"/>
    </sheetView>
  </sheetViews>
  <sheetFormatPr defaultColWidth="8.7109375" defaultRowHeight="15" x14ac:dyDescent="0.25"/>
  <cols>
    <col min="1" max="1" width="17" style="13" customWidth="1"/>
    <col min="2" max="2" width="12.28515625" style="13" customWidth="1"/>
    <col min="3" max="4" width="9.7109375" style="13" customWidth="1"/>
    <col min="5" max="5" width="11.140625" style="13" customWidth="1"/>
    <col min="6" max="6" width="11.42578125" style="13" customWidth="1"/>
    <col min="7" max="7" width="9.7109375" style="13" customWidth="1"/>
    <col min="8" max="8" width="9.42578125" style="16" customWidth="1"/>
    <col min="9" max="9" width="12.42578125" style="16" bestFit="1" customWidth="1"/>
    <col min="10" max="16384" width="8.7109375" style="13"/>
  </cols>
  <sheetData>
    <row r="1" spans="1:8" ht="18.75" x14ac:dyDescent="0.3">
      <c r="A1"/>
      <c r="B1" s="19"/>
      <c r="C1"/>
      <c r="D1" s="289" t="s">
        <v>542</v>
      </c>
      <c r="E1" s="289"/>
      <c r="F1" s="289"/>
      <c r="G1" s="19"/>
      <c r="H1" s="18"/>
    </row>
    <row r="2" spans="1:8" x14ac:dyDescent="0.25">
      <c r="A2" s="19"/>
      <c r="B2" s="19"/>
      <c r="C2" s="19"/>
      <c r="D2" s="19"/>
      <c r="E2" s="19"/>
      <c r="F2" s="19"/>
      <c r="G2" s="326"/>
      <c r="H2" s="285"/>
    </row>
    <row r="3" spans="1:8" x14ac:dyDescent="0.25">
      <c r="A3" s="1" t="s">
        <v>0</v>
      </c>
      <c r="B3" s="578"/>
      <c r="C3" s="578"/>
      <c r="D3" s="578"/>
      <c r="E3" s="578"/>
      <c r="F3" s="19"/>
      <c r="G3"/>
      <c r="H3" s="17"/>
    </row>
    <row r="4" spans="1:8" ht="15" customHeight="1" x14ac:dyDescent="0.25">
      <c r="A4" s="173" t="s">
        <v>4</v>
      </c>
      <c r="B4" s="579" t="s">
        <v>275</v>
      </c>
      <c r="C4" s="579"/>
      <c r="F4" s="178" t="s">
        <v>380</v>
      </c>
      <c r="G4" s="178" t="s">
        <v>381</v>
      </c>
      <c r="H4" s="178" t="s">
        <v>468</v>
      </c>
    </row>
    <row r="5" spans="1:8" x14ac:dyDescent="0.25">
      <c r="A5" s="1" t="s">
        <v>173</v>
      </c>
      <c r="B5" s="445" t="s">
        <v>687</v>
      </c>
      <c r="C5" s="444"/>
      <c r="D5" s="444"/>
      <c r="E5" s="444"/>
      <c r="F5" s="119">
        <v>32.715600000000002</v>
      </c>
      <c r="G5" s="120">
        <v>86.089399999999998</v>
      </c>
      <c r="H5" s="119">
        <v>557</v>
      </c>
    </row>
    <row r="6" spans="1:8" ht="15.75" x14ac:dyDescent="0.25">
      <c r="A6" s="1" t="s">
        <v>118</v>
      </c>
      <c r="B6" s="445"/>
      <c r="C6" s="444"/>
      <c r="D6" s="444"/>
      <c r="E6" s="444"/>
      <c r="F6" s="400" t="s">
        <v>576</v>
      </c>
      <c r="G6" s="17" t="s">
        <v>575</v>
      </c>
      <c r="H6" s="168" t="s">
        <v>551</v>
      </c>
    </row>
    <row r="7" spans="1:8" x14ac:dyDescent="0.25">
      <c r="A7" s="33" t="s">
        <v>164</v>
      </c>
      <c r="B7" s="403" t="s">
        <v>255</v>
      </c>
      <c r="C7" s="444"/>
      <c r="E7" s="285" t="s">
        <v>556</v>
      </c>
      <c r="F7" s="415" t="s">
        <v>222</v>
      </c>
      <c r="G7" s="439" t="s">
        <v>246</v>
      </c>
      <c r="H7" s="168" t="s">
        <v>558</v>
      </c>
    </row>
    <row r="8" spans="1:8" ht="15" customHeight="1" x14ac:dyDescent="0.25">
      <c r="A8" s="173" t="s">
        <v>10</v>
      </c>
      <c r="B8" s="445" t="s">
        <v>688</v>
      </c>
      <c r="C8" s="444"/>
      <c r="D8" s="444"/>
      <c r="E8" s="14" t="s">
        <v>557</v>
      </c>
      <c r="F8" s="168" t="s">
        <v>244</v>
      </c>
      <c r="G8" s="194" t="s">
        <v>30</v>
      </c>
      <c r="H8" s="242" t="s">
        <v>552</v>
      </c>
    </row>
    <row r="9" spans="1:8" ht="18" x14ac:dyDescent="0.25">
      <c r="A9" t="s">
        <v>395</v>
      </c>
      <c r="B9" s="404">
        <v>42564</v>
      </c>
      <c r="C9" s="444"/>
      <c r="E9" s="428" t="s">
        <v>541</v>
      </c>
      <c r="F9" s="420" t="s">
        <v>245</v>
      </c>
      <c r="G9" s="421" t="s">
        <v>342</v>
      </c>
      <c r="H9" s="236" t="s">
        <v>544</v>
      </c>
    </row>
    <row r="10" spans="1:8" x14ac:dyDescent="0.25">
      <c r="A10" s="33" t="s">
        <v>122</v>
      </c>
      <c r="B10" s="445" t="s">
        <v>2</v>
      </c>
      <c r="C10" s="444"/>
      <c r="E10" s="409" t="s">
        <v>144</v>
      </c>
      <c r="F10" s="236" t="s">
        <v>198</v>
      </c>
      <c r="G10" s="237" t="s">
        <v>197</v>
      </c>
      <c r="H10" s="8" t="s">
        <v>144</v>
      </c>
    </row>
    <row r="11" spans="1:8" x14ac:dyDescent="0.25">
      <c r="A11"/>
      <c r="E11" s="410">
        <v>50</v>
      </c>
      <c r="F11" s="285">
        <v>2</v>
      </c>
      <c r="G11" s="60">
        <f>IF(ISNUMBER($B$16),(208*$B$16^0.695),"")</f>
        <v>511.51323563667199</v>
      </c>
      <c r="H11" s="17">
        <v>58</v>
      </c>
    </row>
    <row r="12" spans="1:8" ht="15.75" x14ac:dyDescent="0.25">
      <c r="A12" s="33" t="s">
        <v>238</v>
      </c>
      <c r="B12" s="463" t="s">
        <v>249</v>
      </c>
      <c r="C12" s="57"/>
      <c r="E12" s="54">
        <v>20</v>
      </c>
      <c r="F12" s="285">
        <v>5</v>
      </c>
      <c r="G12" s="60">
        <f>IF(ISNUMBER($B$16),(360*$B$16^0.688),"")</f>
        <v>877.32396256674758</v>
      </c>
      <c r="H12" s="17">
        <v>36</v>
      </c>
    </row>
    <row r="13" spans="1:8" x14ac:dyDescent="0.25">
      <c r="A13" s="36" t="s">
        <v>405</v>
      </c>
      <c r="B13" s="17" t="s">
        <v>251</v>
      </c>
      <c r="E13" s="54">
        <v>10</v>
      </c>
      <c r="F13" s="285">
        <v>10</v>
      </c>
      <c r="G13" s="60">
        <f>IF(ISNUMBER($B$16),482*$B$16^0.69,"")</f>
        <v>1177.6849218188004</v>
      </c>
      <c r="H13" s="17">
        <v>26</v>
      </c>
    </row>
    <row r="14" spans="1:8" x14ac:dyDescent="0.25">
      <c r="A14" s="36" t="s">
        <v>628</v>
      </c>
      <c r="B14" s="118" t="s">
        <v>633</v>
      </c>
      <c r="D14" s="16"/>
      <c r="E14" s="54">
        <v>4</v>
      </c>
      <c r="F14" s="285">
        <v>25</v>
      </c>
      <c r="G14" s="60">
        <f>IF(ISNUMBER($B$16),(659*$B$16^0.692),"")</f>
        <v>1614.3291049845234</v>
      </c>
      <c r="H14" s="17">
        <v>20</v>
      </c>
    </row>
    <row r="15" spans="1:8" ht="15" customHeight="1" x14ac:dyDescent="0.25">
      <c r="A15" s="36" t="s">
        <v>577</v>
      </c>
      <c r="B15"/>
      <c r="C15" s="17" t="s">
        <v>585</v>
      </c>
      <c r="D15" s="16"/>
      <c r="E15" s="54">
        <v>2</v>
      </c>
      <c r="F15" s="285">
        <v>50</v>
      </c>
      <c r="G15" s="60">
        <f>IF(ISNUMBER($B$16),(807*$B$16^0.693),"")</f>
        <v>1979.4406730306509</v>
      </c>
      <c r="H15" s="17">
        <v>17</v>
      </c>
    </row>
    <row r="16" spans="1:8" ht="15" customHeight="1" x14ac:dyDescent="0.25">
      <c r="A16" s="33" t="s">
        <v>226</v>
      </c>
      <c r="B16" s="118">
        <v>3.65</v>
      </c>
      <c r="C16" s="57"/>
      <c r="D16" s="61"/>
      <c r="E16" s="54">
        <v>1</v>
      </c>
      <c r="F16" s="285">
        <v>100</v>
      </c>
      <c r="G16" s="60">
        <f>IF(ISNUMBER($B$16),(962*$B$16^0.696),"")</f>
        <v>2368.8136976825199</v>
      </c>
      <c r="H16" s="17">
        <v>19</v>
      </c>
    </row>
    <row r="17" spans="1:9" ht="15" customHeight="1" x14ac:dyDescent="0.25">
      <c r="A17" s="33"/>
      <c r="B17" s="16"/>
      <c r="C17" s="57"/>
      <c r="D17" s="61"/>
      <c r="E17" s="54">
        <v>0.5</v>
      </c>
      <c r="F17" s="285">
        <v>200</v>
      </c>
      <c r="G17" s="60">
        <f>IF(ISNUMBER($B$16),1125*$B$16^0.7,"")</f>
        <v>2784.5660739752498</v>
      </c>
      <c r="H17" s="17">
        <v>23</v>
      </c>
    </row>
    <row r="18" spans="1:9" ht="15" customHeight="1" x14ac:dyDescent="0.25">
      <c r="A18" s="33"/>
      <c r="B18" s="16"/>
      <c r="C18" s="57"/>
      <c r="D18" s="61"/>
      <c r="E18" s="54">
        <v>0.2</v>
      </c>
      <c r="F18" s="285">
        <v>500</v>
      </c>
      <c r="G18" s="60">
        <f>IF(ISNUMBER($B$16),1361*$B$16^0.705,"")</f>
        <v>3390.5846743248476</v>
      </c>
      <c r="H18" s="17">
        <v>30</v>
      </c>
    </row>
    <row r="19" spans="1:9" x14ac:dyDescent="0.25">
      <c r="A19" s="19"/>
      <c r="B19" s="57"/>
      <c r="C19" s="57"/>
      <c r="D19" s="57"/>
      <c r="E19" s="57"/>
      <c r="F19" s="57"/>
      <c r="G19" s="57"/>
      <c r="H19" s="64"/>
      <c r="I19" s="64"/>
    </row>
    <row r="20" spans="1:9" x14ac:dyDescent="0.25">
      <c r="A20" s="57"/>
      <c r="B20" s="57"/>
    </row>
    <row r="21" spans="1:9" ht="15.75" x14ac:dyDescent="0.25">
      <c r="A21" s="57"/>
      <c r="B21" s="57"/>
      <c r="C21" s="458" t="s">
        <v>418</v>
      </c>
      <c r="D21"/>
      <c r="E21" s="14"/>
      <c r="F21"/>
      <c r="G21"/>
    </row>
    <row r="22" spans="1:9" x14ac:dyDescent="0.25">
      <c r="A22" s="541"/>
      <c r="C22" s="36" t="s">
        <v>570</v>
      </c>
      <c r="D22"/>
      <c r="E22"/>
      <c r="F22" t="s">
        <v>572</v>
      </c>
      <c r="G22"/>
    </row>
    <row r="23" spans="1:9" x14ac:dyDescent="0.25">
      <c r="A23"/>
    </row>
    <row r="24" spans="1:9" ht="15.75" x14ac:dyDescent="0.25">
      <c r="A24" s="19"/>
      <c r="B24" s="57"/>
      <c r="C24"/>
      <c r="D24" s="39" t="s">
        <v>631</v>
      </c>
      <c r="E24" s="65"/>
      <c r="F24"/>
      <c r="G24" s="6" t="s">
        <v>244</v>
      </c>
      <c r="H24" s="466" t="s">
        <v>367</v>
      </c>
    </row>
    <row r="25" spans="1:9" ht="15.75" x14ac:dyDescent="0.25">
      <c r="A25" s="19" t="s">
        <v>242</v>
      </c>
      <c r="B25" s="225" t="s">
        <v>252</v>
      </c>
      <c r="C25" s="445"/>
      <c r="D25" s="445"/>
      <c r="E25" s="57"/>
      <c r="F25" s="19"/>
      <c r="G25" s="6" t="s">
        <v>245</v>
      </c>
      <c r="H25" s="492" t="s">
        <v>546</v>
      </c>
    </row>
    <row r="26" spans="1:9" ht="15" customHeight="1" x14ac:dyDescent="0.25">
      <c r="A26" s="36" t="s">
        <v>408</v>
      </c>
      <c r="B26" s="62" t="s">
        <v>636</v>
      </c>
      <c r="D26" s="57"/>
      <c r="E26" s="57"/>
      <c r="F26" s="19"/>
      <c r="G26" s="72" t="s">
        <v>198</v>
      </c>
      <c r="H26" s="72" t="s">
        <v>201</v>
      </c>
    </row>
    <row r="27" spans="1:9" ht="15" customHeight="1" x14ac:dyDescent="0.25">
      <c r="A27" s="33" t="s">
        <v>226</v>
      </c>
      <c r="B27" s="538"/>
      <c r="C27" t="s">
        <v>685</v>
      </c>
      <c r="D27" s="19"/>
      <c r="E27"/>
      <c r="F27"/>
      <c r="G27" s="17">
        <v>2</v>
      </c>
      <c r="H27" s="537" t="str">
        <f>IF(ISNUMBER($C$32),$C$32*G11,"")</f>
        <v/>
      </c>
    </row>
    <row r="28" spans="1:9" x14ac:dyDescent="0.25">
      <c r="A28" s="100" t="s">
        <v>409</v>
      </c>
      <c r="B28" s="62" t="s">
        <v>204</v>
      </c>
      <c r="D28" s="57"/>
      <c r="E28" s="16"/>
      <c r="F28" s="17"/>
      <c r="G28" s="17">
        <v>5</v>
      </c>
      <c r="H28" s="537" t="str">
        <f>IF(ISNUMBER($C$32),$C$32*G12,"")</f>
        <v/>
      </c>
    </row>
    <row r="29" spans="1:9" x14ac:dyDescent="0.25">
      <c r="A29" s="36" t="s">
        <v>637</v>
      </c>
      <c r="B29" s="118">
        <v>74.8</v>
      </c>
      <c r="E29" s="16"/>
      <c r="F29" s="17"/>
      <c r="G29" s="17">
        <v>10</v>
      </c>
      <c r="H29" s="537" t="str">
        <f t="shared" ref="H29:H34" si="0">IF(ISNUMBER($C$32),$C$32*G13,"")</f>
        <v/>
      </c>
    </row>
    <row r="30" spans="1:9" ht="15" customHeight="1" x14ac:dyDescent="0.25">
      <c r="A30" s="468" t="s">
        <v>228</v>
      </c>
      <c r="B30" s="18" t="str">
        <f>IF(ISNUMBER(B27),(2.66*(B27^0.46)*B29^-0.08)," ")</f>
        <v xml:space="preserve"> </v>
      </c>
      <c r="C30" s="185"/>
      <c r="D30" s="408"/>
      <c r="F30" s="220"/>
      <c r="G30" s="220">
        <v>25</v>
      </c>
      <c r="H30" s="539" t="str">
        <f t="shared" si="0"/>
        <v/>
      </c>
    </row>
    <row r="31" spans="1:9" ht="15" customHeight="1" x14ac:dyDescent="0.25">
      <c r="A31"/>
      <c r="B31" s="19"/>
      <c r="D31" s="16"/>
      <c r="F31" s="18"/>
      <c r="G31" s="17">
        <v>50</v>
      </c>
      <c r="H31" s="537" t="str">
        <f t="shared" si="0"/>
        <v/>
      </c>
    </row>
    <row r="32" spans="1:9" x14ac:dyDescent="0.25">
      <c r="A32" s="320" t="s">
        <v>550</v>
      </c>
      <c r="B32"/>
      <c r="C32" s="43" t="str">
        <f>IF(ISNUMBER(B27),(0.00169*B30)/B27,"0")</f>
        <v>0</v>
      </c>
      <c r="D32" s="437"/>
      <c r="F32"/>
      <c r="G32" s="17">
        <v>100</v>
      </c>
      <c r="H32" s="537" t="str">
        <f>IF(ISNUMBER($C$32),$C$32*G16,"")</f>
        <v/>
      </c>
    </row>
    <row r="33" spans="1:10" x14ac:dyDescent="0.25">
      <c r="A33" s="57"/>
      <c r="B33" s="57"/>
      <c r="D33" s="435"/>
      <c r="E33" s="57"/>
      <c r="F33"/>
      <c r="G33" s="17">
        <v>200</v>
      </c>
      <c r="H33" s="537" t="str">
        <f t="shared" si="0"/>
        <v/>
      </c>
    </row>
    <row r="34" spans="1:10" x14ac:dyDescent="0.25">
      <c r="D34" s="57"/>
      <c r="E34" s="438"/>
      <c r="F34" s="95"/>
      <c r="G34" s="82">
        <v>500</v>
      </c>
      <c r="H34" s="540" t="str">
        <f t="shared" si="0"/>
        <v/>
      </c>
    </row>
    <row r="35" spans="1:10" x14ac:dyDescent="0.25">
      <c r="F35" s="95"/>
      <c r="G35"/>
      <c r="H35" s="17"/>
    </row>
    <row r="36" spans="1:10" ht="15.75" x14ac:dyDescent="0.25">
      <c r="A36" s="57"/>
      <c r="B36" s="19"/>
      <c r="C36" s="65"/>
      <c r="D36" s="39" t="s">
        <v>630</v>
      </c>
      <c r="E36" s="95"/>
      <c r="F36" s="62"/>
      <c r="G36" s="6" t="s">
        <v>244</v>
      </c>
      <c r="H36" s="493" t="s">
        <v>370</v>
      </c>
    </row>
    <row r="37" spans="1:10" ht="15.75" x14ac:dyDescent="0.25">
      <c r="A37" s="19" t="s">
        <v>10</v>
      </c>
      <c r="B37" s="225" t="s">
        <v>208</v>
      </c>
      <c r="C37" s="445"/>
      <c r="D37" s="445"/>
      <c r="E37" s="341"/>
      <c r="F37" s="19"/>
      <c r="G37" s="6" t="s">
        <v>245</v>
      </c>
      <c r="H37" s="492" t="s">
        <v>546</v>
      </c>
    </row>
    <row r="38" spans="1:10" ht="15" customHeight="1" x14ac:dyDescent="0.25">
      <c r="A38" s="36" t="s">
        <v>408</v>
      </c>
      <c r="B38" s="62" t="s">
        <v>638</v>
      </c>
      <c r="E38" s="57"/>
      <c r="F38" s="17"/>
      <c r="G38" s="72" t="s">
        <v>198</v>
      </c>
      <c r="H38" s="72" t="s">
        <v>201</v>
      </c>
    </row>
    <row r="39" spans="1:10" ht="15" customHeight="1" x14ac:dyDescent="0.25">
      <c r="A39" s="33" t="s">
        <v>226</v>
      </c>
      <c r="B39" s="118">
        <v>3.65</v>
      </c>
      <c r="C39" t="s">
        <v>684</v>
      </c>
      <c r="D39" s="473"/>
      <c r="E39" s="17"/>
      <c r="F39" s="17"/>
      <c r="G39" s="17">
        <v>2</v>
      </c>
      <c r="H39" s="29">
        <f>IF(ISNUMBER($C$44),$C$44*G11,"")</f>
        <v>1.0578131049290469</v>
      </c>
    </row>
    <row r="40" spans="1:10" x14ac:dyDescent="0.25">
      <c r="A40" s="320" t="s">
        <v>409</v>
      </c>
      <c r="B40" s="62" t="s">
        <v>207</v>
      </c>
      <c r="D40" s="343"/>
      <c r="E40" s="16"/>
      <c r="F40" s="18"/>
      <c r="G40" s="17">
        <v>5</v>
      </c>
      <c r="H40" s="29">
        <f t="shared" ref="H40:H44" si="1">IF(ISNUMBER($C$44),$C$44*G12,"")</f>
        <v>1.8143123583425251</v>
      </c>
    </row>
    <row r="41" spans="1:10" x14ac:dyDescent="0.25">
      <c r="A41" s="36" t="s">
        <v>637</v>
      </c>
      <c r="B41" s="228">
        <v>47.5</v>
      </c>
      <c r="D41" s="344"/>
      <c r="E41" s="57"/>
      <c r="F41" s="19"/>
      <c r="G41" s="17">
        <v>10</v>
      </c>
      <c r="H41" s="29">
        <f t="shared" si="1"/>
        <v>2.4354610144675481</v>
      </c>
    </row>
    <row r="42" spans="1:10" ht="15" customHeight="1" x14ac:dyDescent="0.25">
      <c r="A42" s="469" t="s">
        <v>228</v>
      </c>
      <c r="B42" s="18">
        <f>IF(ISNUMBER(B39),(5.06*(B39^0.5)*B41^-0.2)," ")</f>
        <v>4.4664062970676444</v>
      </c>
      <c r="C42" s="185"/>
      <c r="D42" s="185"/>
      <c r="F42" s="475"/>
      <c r="G42" s="220">
        <v>25</v>
      </c>
      <c r="H42" s="29">
        <f t="shared" si="1"/>
        <v>3.3384443724032167</v>
      </c>
      <c r="J42" s="52"/>
    </row>
    <row r="43" spans="1:10" ht="15" customHeight="1" x14ac:dyDescent="0.25">
      <c r="A43"/>
      <c r="B43"/>
      <c r="D43" s="412"/>
      <c r="E43" s="57"/>
      <c r="F43" s="19"/>
      <c r="G43" s="17">
        <v>50</v>
      </c>
      <c r="H43" s="29">
        <f t="shared" si="1"/>
        <v>4.0934977601413962</v>
      </c>
    </row>
    <row r="44" spans="1:10" x14ac:dyDescent="0.25">
      <c r="A44" s="320" t="s">
        <v>550</v>
      </c>
      <c r="B44" s="19"/>
      <c r="C44" s="17">
        <f>IF(ISNUMBER(B39),0.00169*B42/B39,"0")</f>
        <v>2.0680072991902244E-3</v>
      </c>
      <c r="D44" s="57"/>
      <c r="E44" s="57"/>
      <c r="F44" s="19"/>
      <c r="G44" s="17">
        <v>100</v>
      </c>
      <c r="H44" s="29">
        <f t="shared" si="1"/>
        <v>4.8987240172292363</v>
      </c>
    </row>
    <row r="45" spans="1:10" x14ac:dyDescent="0.25">
      <c r="C45" s="57"/>
      <c r="E45" s="57"/>
      <c r="F45" s="19"/>
      <c r="G45" s="17">
        <v>200</v>
      </c>
      <c r="H45" s="29">
        <f>IF(ISNUMBER($C$44),$C$44*G17,"")</f>
        <v>5.7585029660582832</v>
      </c>
    </row>
    <row r="46" spans="1:10" x14ac:dyDescent="0.25">
      <c r="F46"/>
      <c r="G46" s="82">
        <v>500</v>
      </c>
      <c r="H46" s="433">
        <f>IF(ISNUMBER($C$44),$C$44*G18,"")</f>
        <v>7.0117538550262948</v>
      </c>
    </row>
  </sheetData>
  <sheetProtection algorithmName="SHA-512" hashValue="citDXxtDjtRwQV3j9Dps3cRrLmQC5mk4NtufLoTZTDXd7fBBo4UtvHfx9zoHIuMIG7yOKmqDm8iBbhbyNXW84A==" saltValue="iH7ynmCTh6knIgMN2+wPfQ==" spinCount="100000" sheet="1" objects="1" scenarios="1" selectLockedCells="1"/>
  <mergeCells count="3">
    <mergeCell ref="B3:C3"/>
    <mergeCell ref="D3:E3"/>
    <mergeCell ref="B4:C4"/>
  </mergeCells>
  <pageMargins left="0.7" right="0.7" top="0.75" bottom="0.75" header="0.3" footer="0.3"/>
  <pageSetup orientation="portrait" r:id="rId1"/>
  <headerFooter>
    <oddFooter>&amp;R&amp;T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/>
  <dimension ref="A1:K40"/>
  <sheetViews>
    <sheetView zoomScaleNormal="100" workbookViewId="0">
      <selection activeCell="B27" sqref="B27"/>
    </sheetView>
  </sheetViews>
  <sheetFormatPr defaultColWidth="8.7109375" defaultRowHeight="15" x14ac:dyDescent="0.25"/>
  <cols>
    <col min="1" max="1" width="19.28515625" style="13" customWidth="1"/>
    <col min="2" max="2" width="11.42578125" style="13" customWidth="1"/>
    <col min="3" max="3" width="9.140625" style="13" customWidth="1"/>
    <col min="4" max="5" width="9.7109375" style="13" customWidth="1"/>
    <col min="6" max="6" width="10.5703125" style="13" customWidth="1"/>
    <col min="7" max="7" width="11" style="13" customWidth="1"/>
    <col min="8" max="8" width="11.140625" style="13" bestFit="1" customWidth="1"/>
    <col min="9" max="9" width="12.28515625" style="13" bestFit="1" customWidth="1"/>
    <col min="10" max="11" width="9.7109375" style="13" customWidth="1"/>
    <col min="12" max="16384" width="8.7109375" style="13"/>
  </cols>
  <sheetData>
    <row r="1" spans="1:11" ht="18.75" x14ac:dyDescent="0.3">
      <c r="A1"/>
      <c r="B1"/>
      <c r="C1"/>
      <c r="D1"/>
      <c r="E1"/>
      <c r="F1" s="289" t="s">
        <v>588</v>
      </c>
      <c r="G1" s="329"/>
      <c r="H1" s="319"/>
      <c r="I1"/>
      <c r="J1"/>
      <c r="K1"/>
    </row>
    <row r="2" spans="1:11" x14ac:dyDescent="0.25">
      <c r="A2"/>
      <c r="B2"/>
      <c r="C2" s="17"/>
      <c r="D2" s="330"/>
      <c r="E2"/>
      <c r="F2" s="17"/>
      <c r="G2"/>
      <c r="H2" s="319"/>
      <c r="I2"/>
      <c r="J2"/>
      <c r="K2"/>
    </row>
    <row r="3" spans="1:11" x14ac:dyDescent="0.25">
      <c r="A3" s="1" t="s">
        <v>0</v>
      </c>
      <c r="B3" s="444"/>
      <c r="C3" s="444"/>
      <c r="D3" s="444"/>
      <c r="E3" s="444"/>
      <c r="F3" s="17"/>
      <c r="G3"/>
      <c r="H3"/>
      <c r="I3"/>
      <c r="J3"/>
      <c r="K3"/>
    </row>
    <row r="4" spans="1:11" ht="15" customHeight="1" x14ac:dyDescent="0.25">
      <c r="A4" s="173" t="s">
        <v>4</v>
      </c>
      <c r="B4" s="444" t="s">
        <v>221</v>
      </c>
      <c r="C4" s="444"/>
      <c r="F4" s="178" t="s">
        <v>380</v>
      </c>
      <c r="G4" s="178" t="s">
        <v>381</v>
      </c>
      <c r="H4" s="178" t="s">
        <v>468</v>
      </c>
      <c r="I4"/>
      <c r="J4"/>
      <c r="K4"/>
    </row>
    <row r="5" spans="1:11" x14ac:dyDescent="0.25">
      <c r="A5" s="1" t="s">
        <v>173</v>
      </c>
      <c r="B5" s="444" t="s">
        <v>221</v>
      </c>
      <c r="C5" s="444"/>
      <c r="D5" s="444"/>
      <c r="E5" s="444"/>
      <c r="F5" s="119">
        <v>32.880499999999998</v>
      </c>
      <c r="G5" s="120">
        <v>85.337299999999999</v>
      </c>
      <c r="H5" s="119">
        <v>688</v>
      </c>
      <c r="I5"/>
      <c r="J5" s="168" t="s">
        <v>551</v>
      </c>
      <c r="K5" s="168" t="s">
        <v>551</v>
      </c>
    </row>
    <row r="6" spans="1:11" x14ac:dyDescent="0.25">
      <c r="A6" s="1" t="s">
        <v>118</v>
      </c>
      <c r="B6" s="445" t="s">
        <v>90</v>
      </c>
      <c r="C6" s="445"/>
      <c r="D6" s="445"/>
      <c r="E6" s="445"/>
      <c r="G6" s="285" t="s">
        <v>556</v>
      </c>
      <c r="H6" s="413" t="s">
        <v>222</v>
      </c>
      <c r="I6" s="414" t="s">
        <v>233</v>
      </c>
      <c r="J6" s="168" t="s">
        <v>558</v>
      </c>
      <c r="K6" s="168" t="s">
        <v>558</v>
      </c>
    </row>
    <row r="7" spans="1:11" ht="15.75" x14ac:dyDescent="0.25">
      <c r="A7" s="1" t="s">
        <v>164</v>
      </c>
      <c r="B7" s="445" t="s">
        <v>91</v>
      </c>
      <c r="C7" s="16"/>
      <c r="G7" s="14" t="s">
        <v>557</v>
      </c>
      <c r="H7" s="168" t="s">
        <v>244</v>
      </c>
      <c r="I7" s="494" t="s">
        <v>223</v>
      </c>
      <c r="J7" s="242" t="s">
        <v>555</v>
      </c>
      <c r="K7" s="242" t="s">
        <v>552</v>
      </c>
    </row>
    <row r="8" spans="1:11" ht="15" customHeight="1" x14ac:dyDescent="0.25">
      <c r="A8" s="173" t="s">
        <v>10</v>
      </c>
      <c r="B8" s="445" t="s">
        <v>250</v>
      </c>
      <c r="C8" s="444"/>
      <c r="D8" s="444"/>
      <c r="E8" s="405"/>
      <c r="F8" s="405"/>
      <c r="G8" s="428" t="s">
        <v>541</v>
      </c>
      <c r="H8" s="420" t="s">
        <v>245</v>
      </c>
      <c r="I8" s="495" t="s">
        <v>679</v>
      </c>
      <c r="J8" s="236" t="s">
        <v>554</v>
      </c>
      <c r="K8" s="236" t="s">
        <v>544</v>
      </c>
    </row>
    <row r="9" spans="1:11" x14ac:dyDescent="0.25">
      <c r="A9" t="s">
        <v>395</v>
      </c>
      <c r="B9" s="404">
        <v>42557</v>
      </c>
      <c r="G9" s="409" t="s">
        <v>144</v>
      </c>
      <c r="H9" s="72" t="s">
        <v>198</v>
      </c>
      <c r="I9" s="73" t="s">
        <v>197</v>
      </c>
      <c r="J9" s="72" t="s">
        <v>144</v>
      </c>
      <c r="K9" s="72" t="s">
        <v>144</v>
      </c>
    </row>
    <row r="10" spans="1:11" x14ac:dyDescent="0.25">
      <c r="A10" s="33" t="s">
        <v>122</v>
      </c>
      <c r="B10" s="445" t="s">
        <v>2</v>
      </c>
      <c r="G10" s="410">
        <v>50</v>
      </c>
      <c r="H10" s="17">
        <v>2</v>
      </c>
      <c r="I10" s="59">
        <f>IF(ISNUMBER($B$14),(95*$B$14^0.648*$B$16^0.407),"")</f>
        <v>2179.2000024592035</v>
      </c>
      <c r="J10" s="17">
        <v>22</v>
      </c>
      <c r="K10" s="17">
        <v>26</v>
      </c>
    </row>
    <row r="11" spans="1:11" x14ac:dyDescent="0.25">
      <c r="A11" t="s">
        <v>586</v>
      </c>
      <c r="B11"/>
      <c r="C11"/>
      <c r="D11"/>
      <c r="G11" s="54">
        <v>20</v>
      </c>
      <c r="H11" s="17">
        <v>5</v>
      </c>
      <c r="I11" s="59">
        <f>IF(ISNUMBER($B$14),(226*$B$14^0.67*$B$16^0.298),"")</f>
        <v>3301.0524197393756</v>
      </c>
      <c r="J11" s="17">
        <v>18</v>
      </c>
      <c r="K11" s="17">
        <v>21</v>
      </c>
    </row>
    <row r="12" spans="1:11" ht="15" customHeight="1" x14ac:dyDescent="0.25">
      <c r="A12"/>
      <c r="C12" s="16"/>
      <c r="G12" s="54">
        <v>10</v>
      </c>
      <c r="H12" s="17">
        <v>10</v>
      </c>
      <c r="I12" s="59">
        <f>IF(ISNUMBER($B$14),(306*$B$14^0.675*$B$16^0.276),"")</f>
        <v>4084.9018769556569</v>
      </c>
      <c r="J12" s="17">
        <v>17</v>
      </c>
      <c r="K12" s="17">
        <v>21</v>
      </c>
    </row>
    <row r="13" spans="1:11" ht="15" customHeight="1" x14ac:dyDescent="0.25">
      <c r="A13" t="s">
        <v>224</v>
      </c>
      <c r="B13" s="17" t="s">
        <v>225</v>
      </c>
      <c r="C13" t="s">
        <v>681</v>
      </c>
      <c r="D13"/>
      <c r="E13"/>
      <c r="G13" s="54">
        <v>4</v>
      </c>
      <c r="H13" s="17">
        <v>25</v>
      </c>
      <c r="I13" s="59">
        <f>IF(ISNUMBER($B$14),(417*$B$14^0.67*$B$16^0.253),"")</f>
        <v>4965.1332584718857</v>
      </c>
      <c r="J13" s="17">
        <v>19</v>
      </c>
      <c r="K13" s="17">
        <v>24</v>
      </c>
    </row>
    <row r="14" spans="1:11" ht="15" customHeight="1" x14ac:dyDescent="0.25">
      <c r="A14" s="1" t="s">
        <v>226</v>
      </c>
      <c r="B14" s="118">
        <v>7.26</v>
      </c>
      <c r="D14" s="16"/>
      <c r="G14" s="54">
        <v>2</v>
      </c>
      <c r="H14" s="17">
        <v>50</v>
      </c>
      <c r="I14" s="59">
        <f>IF(ISNUMBER($B$14),(513*$B$14^0.663*$B$16^0.237),"")</f>
        <v>5601.836349732167</v>
      </c>
      <c r="J14" s="17">
        <v>21</v>
      </c>
      <c r="K14" s="17">
        <v>26</v>
      </c>
    </row>
    <row r="15" spans="1:11" x14ac:dyDescent="0.25">
      <c r="A15" t="s">
        <v>629</v>
      </c>
      <c r="B15" s="17" t="s">
        <v>209</v>
      </c>
      <c r="C15" s="328" t="s">
        <v>578</v>
      </c>
      <c r="D15"/>
      <c r="E15"/>
      <c r="F15"/>
      <c r="G15" s="54">
        <v>1</v>
      </c>
      <c r="H15" s="17">
        <v>100</v>
      </c>
      <c r="I15" s="59">
        <f>IF(ISNUMBER($B$14),(618*$B$14^0.656*$B$16^0.223),"")</f>
        <v>6245.4556862070003</v>
      </c>
      <c r="J15" s="17">
        <v>24</v>
      </c>
      <c r="K15" s="17">
        <v>30</v>
      </c>
    </row>
    <row r="16" spans="1:11" x14ac:dyDescent="0.25">
      <c r="A16" t="s">
        <v>628</v>
      </c>
      <c r="B16" s="118">
        <v>93.8</v>
      </c>
      <c r="D16" s="16"/>
      <c r="G16" s="54">
        <v>0.5</v>
      </c>
      <c r="H16" s="17">
        <v>200</v>
      </c>
      <c r="I16" s="59">
        <f>IF(ISNUMBER($B$14),(733*$B$14^0.65*$B$16^0.21),"")</f>
        <v>6900.4175993096296</v>
      </c>
      <c r="J16" s="17">
        <v>27</v>
      </c>
      <c r="K16" s="17">
        <v>33</v>
      </c>
    </row>
    <row r="17" spans="1:11" x14ac:dyDescent="0.25">
      <c r="B17" s="16"/>
      <c r="D17" s="16"/>
      <c r="G17" s="54">
        <v>0.2</v>
      </c>
      <c r="H17" s="17">
        <v>500</v>
      </c>
      <c r="I17" s="59">
        <f>IF(ISNUMBER($B$14),(897*$B$14^0.642*$B$16^0.196),"")</f>
        <v>7799.4775054276024</v>
      </c>
      <c r="J17" s="17">
        <v>31</v>
      </c>
      <c r="K17" s="17">
        <v>38</v>
      </c>
    </row>
    <row r="18" spans="1:11" x14ac:dyDescent="0.25">
      <c r="A18"/>
      <c r="B18"/>
      <c r="C18"/>
      <c r="D18"/>
      <c r="E18"/>
      <c r="F18"/>
      <c r="G18"/>
      <c r="H18" s="319"/>
      <c r="I18"/>
      <c r="J18"/>
      <c r="K18"/>
    </row>
    <row r="19" spans="1:11" ht="15.75" x14ac:dyDescent="0.25">
      <c r="A19"/>
      <c r="B19"/>
      <c r="C19"/>
      <c r="D19"/>
      <c r="E19" s="458" t="s">
        <v>412</v>
      </c>
      <c r="F19" s="14"/>
      <c r="G19"/>
      <c r="H19" s="319"/>
      <c r="I19"/>
      <c r="J19"/>
      <c r="K19"/>
    </row>
    <row r="20" spans="1:11" x14ac:dyDescent="0.25">
      <c r="A20"/>
      <c r="B20"/>
      <c r="C20" s="55" t="s">
        <v>573</v>
      </c>
      <c r="D20" s="65"/>
      <c r="E20" s="36" t="s">
        <v>571</v>
      </c>
      <c r="F20" s="65"/>
      <c r="G20"/>
      <c r="H20" s="319"/>
      <c r="I20"/>
    </row>
    <row r="21" spans="1:11" x14ac:dyDescent="0.25">
      <c r="A21" s="19" t="s">
        <v>242</v>
      </c>
      <c r="B21" s="225" t="s">
        <v>589</v>
      </c>
      <c r="C21" s="225"/>
      <c r="D21" s="225"/>
      <c r="E21" s="444"/>
      <c r="F21" s="444"/>
      <c r="G21" s="13" t="s">
        <v>537</v>
      </c>
      <c r="H21" s="52"/>
    </row>
    <row r="22" spans="1:11" ht="15" customHeight="1" x14ac:dyDescent="0.25">
      <c r="A22" s="36" t="s">
        <v>402</v>
      </c>
      <c r="B22" s="18" t="s">
        <v>202</v>
      </c>
      <c r="H22" s="52"/>
    </row>
    <row r="23" spans="1:11" ht="15" customHeight="1" x14ac:dyDescent="0.25">
      <c r="A23" s="33" t="s">
        <v>226</v>
      </c>
      <c r="B23" s="227">
        <v>7.26</v>
      </c>
      <c r="C23" t="s">
        <v>683</v>
      </c>
      <c r="D23"/>
      <c r="E23"/>
      <c r="F23"/>
      <c r="H23" s="52"/>
    </row>
    <row r="24" spans="1:11" x14ac:dyDescent="0.25">
      <c r="A24" s="320" t="s">
        <v>406</v>
      </c>
      <c r="B24" s="59" t="s">
        <v>215</v>
      </c>
      <c r="H24" s="52"/>
    </row>
    <row r="25" spans="1:11" x14ac:dyDescent="0.25">
      <c r="A25" s="36" t="s">
        <v>637</v>
      </c>
      <c r="B25" s="227">
        <v>16</v>
      </c>
      <c r="H25" s="52"/>
    </row>
    <row r="26" spans="1:11" x14ac:dyDescent="0.25">
      <c r="A26" t="s">
        <v>264</v>
      </c>
      <c r="B26" s="17" t="s">
        <v>216</v>
      </c>
    </row>
    <row r="27" spans="1:11" x14ac:dyDescent="0.25">
      <c r="A27" s="36" t="s">
        <v>227</v>
      </c>
      <c r="B27" s="227">
        <v>25</v>
      </c>
      <c r="E27" s="474"/>
    </row>
    <row r="28" spans="1:11" ht="15" customHeight="1" thickBot="1" x14ac:dyDescent="0.3">
      <c r="A28" s="39" t="s">
        <v>228</v>
      </c>
      <c r="B28" s="71">
        <f>IF(ISNUMBER(B23),2.85*(B23^0.295)*(B25^-0.183)*(B27^-0.122),"")</f>
        <v>2.0793065672167534</v>
      </c>
      <c r="C28" s="16"/>
      <c r="F28" s="16"/>
    </row>
    <row r="29" spans="1:11" ht="16.5" thickTop="1" x14ac:dyDescent="0.25">
      <c r="A29" s="55"/>
      <c r="B29" s="55"/>
      <c r="C29"/>
      <c r="D29"/>
      <c r="E29" s="249"/>
      <c r="F29" s="492" t="s">
        <v>372</v>
      </c>
      <c r="G29"/>
      <c r="H29"/>
      <c r="I29"/>
    </row>
    <row r="30" spans="1:11" ht="15.75" x14ac:dyDescent="0.25">
      <c r="A30" s="55"/>
      <c r="B30" s="55"/>
      <c r="C30" s="55" t="s">
        <v>569</v>
      </c>
      <c r="D30" s="331"/>
      <c r="E30" s="55"/>
      <c r="F30" s="43"/>
      <c r="G30" s="7" t="s">
        <v>244</v>
      </c>
      <c r="H30" s="466" t="s">
        <v>367</v>
      </c>
      <c r="I30"/>
    </row>
    <row r="31" spans="1:11" ht="15.75" x14ac:dyDescent="0.25">
      <c r="A31" s="327" t="s">
        <v>410</v>
      </c>
      <c r="B31" s="261" t="s">
        <v>413</v>
      </c>
      <c r="C31" s="55"/>
      <c r="D31" s="55"/>
      <c r="E31" s="55"/>
      <c r="F31" s="55"/>
      <c r="G31" s="7" t="s">
        <v>245</v>
      </c>
      <c r="H31" s="492" t="s">
        <v>546</v>
      </c>
      <c r="I31"/>
      <c r="J31" s="58"/>
    </row>
    <row r="32" spans="1:11" x14ac:dyDescent="0.25">
      <c r="A32" s="55" t="s">
        <v>411</v>
      </c>
      <c r="B32" s="261" t="s">
        <v>206</v>
      </c>
      <c r="C32" s="55"/>
      <c r="D32" s="55"/>
      <c r="E32" s="55"/>
      <c r="F32" s="55"/>
      <c r="G32" s="82" t="s">
        <v>198</v>
      </c>
      <c r="H32" s="82" t="s">
        <v>201</v>
      </c>
      <c r="I32"/>
      <c r="J32" s="58"/>
    </row>
    <row r="33" spans="1:10" x14ac:dyDescent="0.25">
      <c r="A33"/>
      <c r="B33" s="55"/>
      <c r="C33" s="55"/>
      <c r="D33" s="55"/>
      <c r="E33" s="43"/>
      <c r="F33" s="55"/>
      <c r="G33" s="43">
        <v>2</v>
      </c>
      <c r="H33" s="29">
        <f>IF(ISNUMBER($C$34),($C$34*I10),"")</f>
        <v>1.0547892618598895</v>
      </c>
      <c r="I33"/>
      <c r="J33" s="58"/>
    </row>
    <row r="34" spans="1:10" x14ac:dyDescent="0.25">
      <c r="A34" s="261" t="s">
        <v>371</v>
      </c>
      <c r="B34" s="55"/>
      <c r="C34" s="506">
        <f>IF(ISNUMBER(B23),(0.00169*B28)/B23,"0")</f>
        <v>4.8402590889756389E-4</v>
      </c>
      <c r="D34" s="55"/>
      <c r="E34" s="43"/>
      <c r="F34" s="55"/>
      <c r="G34" s="43">
        <v>5</v>
      </c>
      <c r="H34" s="29">
        <f t="shared" ref="H34:H35" si="0">IF(ISNUMBER($C$34),($C$34*I11),"")</f>
        <v>1.5977948977828538</v>
      </c>
      <c r="I34"/>
      <c r="J34" s="58"/>
    </row>
    <row r="35" spans="1:10" x14ac:dyDescent="0.25">
      <c r="A35" s="55"/>
      <c r="B35" s="55"/>
      <c r="C35" s="55"/>
      <c r="D35" s="55"/>
      <c r="E35" s="55"/>
      <c r="F35" s="43"/>
      <c r="G35" s="43">
        <v>10</v>
      </c>
      <c r="H35" s="29">
        <f t="shared" si="0"/>
        <v>1.9771983437508265</v>
      </c>
      <c r="I35"/>
      <c r="J35" s="58"/>
    </row>
    <row r="36" spans="1:10" x14ac:dyDescent="0.25">
      <c r="A36" s="55"/>
      <c r="B36" s="55"/>
      <c r="C36" s="55"/>
      <c r="D36" s="55"/>
      <c r="E36" s="55"/>
      <c r="F36" s="43"/>
      <c r="G36" s="43">
        <v>25</v>
      </c>
      <c r="H36" s="29">
        <f>IF(ISNUMBER($C$34),($C$34*I13),"")</f>
        <v>2.4032531382293776</v>
      </c>
      <c r="I36"/>
      <c r="J36" s="58"/>
    </row>
    <row r="37" spans="1:10" x14ac:dyDescent="0.25">
      <c r="A37" s="55"/>
      <c r="B37" s="55"/>
      <c r="C37" s="43"/>
      <c r="D37" s="43"/>
      <c r="E37" s="55"/>
      <c r="F37" s="43"/>
      <c r="G37" s="43">
        <v>50</v>
      </c>
      <c r="H37" s="29">
        <f>IF(ISNUMBER($C$34),($C$34*I14),"")</f>
        <v>2.7114339306745237</v>
      </c>
      <c r="I37"/>
      <c r="J37" s="58"/>
    </row>
    <row r="38" spans="1:10" x14ac:dyDescent="0.25">
      <c r="A38" s="55"/>
      <c r="B38" s="55"/>
      <c r="C38" s="43"/>
      <c r="D38" s="43"/>
      <c r="E38" s="55"/>
      <c r="F38" s="43"/>
      <c r="G38" s="43">
        <v>100</v>
      </c>
      <c r="H38" s="29">
        <f>IF(ISNUMBER($C$34),($C$34*I15),"")</f>
        <v>3.0229623649958017</v>
      </c>
      <c r="I38"/>
    </row>
    <row r="39" spans="1:10" x14ac:dyDescent="0.25">
      <c r="A39" s="55"/>
      <c r="B39" s="55"/>
      <c r="C39" s="43"/>
      <c r="D39" s="43"/>
      <c r="E39" s="55"/>
      <c r="F39" s="43"/>
      <c r="G39" s="43">
        <v>200</v>
      </c>
      <c r="H39" s="29">
        <f>IF(ISNUMBER($C$34),($C$34*I16),"")</f>
        <v>3.3399809002785892</v>
      </c>
      <c r="I39"/>
    </row>
    <row r="40" spans="1:10" x14ac:dyDescent="0.25">
      <c r="A40"/>
      <c r="B40"/>
      <c r="C40"/>
      <c r="D40"/>
      <c r="E40"/>
      <c r="F40"/>
      <c r="G40" s="43">
        <v>500</v>
      </c>
      <c r="H40" s="29">
        <f>IF(ISNUMBER($C$34),($C$34*I17),"")</f>
        <v>3.7751491884906994</v>
      </c>
      <c r="I40"/>
    </row>
  </sheetData>
  <sheetProtection algorithmName="SHA-512" hashValue="nULTtYblt35irEewRChZegh+RpoTST7kRAZeEUFeoSKIujhq2Jk93YH0GA1Vl16TM1Dzkf2aZj6mPexg1qSYIw==" saltValue="0cH5ZCyzvYZ5bRK4mCU2Sw==" spinCount="100000" sheet="1" objects="1" scenarios="1" selectLockedCells="1"/>
  <pageMargins left="0.7" right="0.7" top="0.75" bottom="0.75" header="0.3" footer="0.3"/>
  <pageSetup scale="85" orientation="landscape" r:id="rId1"/>
  <headerFooter>
    <oddFooter>&amp;R&amp;T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/>
  <dimension ref="A1:R49"/>
  <sheetViews>
    <sheetView zoomScaleNormal="100" workbookViewId="0">
      <selection activeCell="B17" sqref="B17"/>
    </sheetView>
  </sheetViews>
  <sheetFormatPr defaultColWidth="8.85546875" defaultRowHeight="15" x14ac:dyDescent="0.25"/>
  <cols>
    <col min="1" max="1" width="15" style="13" customWidth="1"/>
    <col min="2" max="3" width="9.7109375" style="13" customWidth="1"/>
    <col min="4" max="4" width="9.140625" style="13" customWidth="1"/>
    <col min="5" max="16384" width="8.85546875" style="13"/>
  </cols>
  <sheetData>
    <row r="1" spans="1:18" ht="18.75" x14ac:dyDescent="0.3">
      <c r="A1"/>
      <c r="B1"/>
      <c r="C1"/>
      <c r="D1" s="580" t="s">
        <v>256</v>
      </c>
      <c r="E1" s="580"/>
      <c r="F1" s="580"/>
      <c r="G1" s="81"/>
      <c r="H1" s="19"/>
      <c r="I1" s="19"/>
      <c r="J1"/>
      <c r="K1"/>
      <c r="L1"/>
      <c r="M1"/>
      <c r="N1"/>
      <c r="O1"/>
      <c r="P1"/>
      <c r="Q1"/>
      <c r="R1"/>
    </row>
    <row r="2" spans="1:18" x14ac:dyDescent="0.25">
      <c r="A2"/>
      <c r="B2"/>
      <c r="C2"/>
      <c r="D2"/>
      <c r="E2"/>
      <c r="F2"/>
      <c r="G2"/>
      <c r="H2"/>
      <c r="I2" s="18"/>
      <c r="J2"/>
      <c r="K2"/>
      <c r="L2"/>
      <c r="M2"/>
      <c r="N2"/>
      <c r="O2"/>
      <c r="P2"/>
      <c r="Q2"/>
      <c r="R2"/>
    </row>
    <row r="3" spans="1:18" x14ac:dyDescent="0.25">
      <c r="A3" s="1" t="s">
        <v>0</v>
      </c>
      <c r="B3" s="117"/>
      <c r="C3" s="225"/>
      <c r="D3" s="19" t="s">
        <v>257</v>
      </c>
      <c r="E3" s="80" t="s">
        <v>258</v>
      </c>
      <c r="F3" s="80" t="s">
        <v>259</v>
      </c>
      <c r="G3" s="80" t="s">
        <v>259</v>
      </c>
      <c r="H3" s="18" t="s">
        <v>195</v>
      </c>
      <c r="I3" s="18"/>
      <c r="J3"/>
      <c r="K3"/>
      <c r="L3"/>
      <c r="M3"/>
      <c r="N3"/>
      <c r="O3"/>
      <c r="P3"/>
      <c r="Q3"/>
      <c r="R3"/>
    </row>
    <row r="4" spans="1:18" x14ac:dyDescent="0.25">
      <c r="A4" s="1" t="s">
        <v>4</v>
      </c>
      <c r="B4" s="117" t="s">
        <v>229</v>
      </c>
      <c r="C4" s="118"/>
      <c r="D4" s="18" t="s">
        <v>260</v>
      </c>
      <c r="E4" s="17" t="s">
        <v>261</v>
      </c>
      <c r="F4" s="80"/>
      <c r="G4" s="80"/>
      <c r="H4" s="18"/>
      <c r="I4" s="18"/>
      <c r="J4"/>
      <c r="K4"/>
      <c r="L4"/>
      <c r="M4"/>
      <c r="N4"/>
      <c r="O4"/>
      <c r="P4"/>
      <c r="Q4"/>
      <c r="R4"/>
    </row>
    <row r="5" spans="1:18" x14ac:dyDescent="0.25">
      <c r="A5" s="1" t="s">
        <v>217</v>
      </c>
      <c r="B5" s="333" t="s">
        <v>232</v>
      </c>
      <c r="C5" s="225"/>
      <c r="D5" s="19"/>
      <c r="E5" s="17" t="s">
        <v>262</v>
      </c>
      <c r="F5" s="80" t="s">
        <v>26</v>
      </c>
      <c r="G5" s="80" t="s">
        <v>263</v>
      </c>
      <c r="H5" s="18" t="s">
        <v>197</v>
      </c>
      <c r="I5" s="19"/>
      <c r="J5"/>
      <c r="K5"/>
      <c r="L5"/>
      <c r="M5"/>
      <c r="N5"/>
      <c r="O5"/>
      <c r="P5"/>
      <c r="Q5"/>
      <c r="R5"/>
    </row>
    <row r="6" spans="1:18" x14ac:dyDescent="0.25">
      <c r="A6" s="1" t="s">
        <v>118</v>
      </c>
      <c r="B6" s="333" t="s">
        <v>231</v>
      </c>
      <c r="C6" s="334"/>
      <c r="D6" s="18">
        <v>0.25</v>
      </c>
      <c r="E6" s="18">
        <v>0.12</v>
      </c>
      <c r="F6" s="80">
        <f t="shared" ref="F6:F49" si="0">$B$14*D6</f>
        <v>32.549999999999997</v>
      </c>
      <c r="G6" s="80">
        <f t="shared" ref="G6:G49" si="1">$B$15*D6</f>
        <v>0.54249999999999998</v>
      </c>
      <c r="H6" s="18">
        <f t="shared" ref="H6:H49" si="2">$B$13*E6</f>
        <v>116.75999999999999</v>
      </c>
      <c r="I6" s="19"/>
      <c r="J6"/>
      <c r="K6"/>
      <c r="L6"/>
      <c r="M6"/>
      <c r="N6"/>
      <c r="O6"/>
      <c r="P6"/>
      <c r="Q6"/>
      <c r="R6"/>
    </row>
    <row r="7" spans="1:18" x14ac:dyDescent="0.25">
      <c r="A7" s="33" t="s">
        <v>164</v>
      </c>
      <c r="B7" s="310"/>
      <c r="C7" s="225"/>
      <c r="D7" s="18">
        <v>0.3</v>
      </c>
      <c r="E7" s="18">
        <v>0.16</v>
      </c>
      <c r="F7" s="80">
        <f t="shared" si="0"/>
        <v>39.059999999999995</v>
      </c>
      <c r="G7" s="80">
        <f t="shared" si="1"/>
        <v>0.65099999999999991</v>
      </c>
      <c r="H7" s="18">
        <f t="shared" si="2"/>
        <v>155.68</v>
      </c>
      <c r="I7" s="19"/>
      <c r="J7"/>
      <c r="K7"/>
      <c r="L7"/>
      <c r="M7"/>
      <c r="N7"/>
      <c r="O7"/>
      <c r="P7"/>
      <c r="Q7"/>
      <c r="R7"/>
    </row>
    <row r="8" spans="1:18" x14ac:dyDescent="0.25">
      <c r="A8" s="1" t="s">
        <v>196</v>
      </c>
      <c r="B8" s="335" t="s">
        <v>230</v>
      </c>
      <c r="C8" s="225"/>
      <c r="D8" s="18">
        <v>0.35</v>
      </c>
      <c r="E8" s="18">
        <v>0.21</v>
      </c>
      <c r="F8" s="80">
        <f t="shared" si="0"/>
        <v>45.569999999999993</v>
      </c>
      <c r="G8" s="80">
        <f t="shared" si="1"/>
        <v>0.75949999999999995</v>
      </c>
      <c r="H8" s="18">
        <f t="shared" si="2"/>
        <v>204.32999999999998</v>
      </c>
      <c r="I8" s="19"/>
      <c r="J8"/>
    </row>
    <row r="9" spans="1:18" x14ac:dyDescent="0.25">
      <c r="A9" s="1" t="s">
        <v>199</v>
      </c>
      <c r="B9" s="310" t="s">
        <v>2</v>
      </c>
      <c r="C9" s="225"/>
      <c r="D9" s="18">
        <v>0.4</v>
      </c>
      <c r="E9" s="18">
        <v>0.26</v>
      </c>
      <c r="F9" s="80">
        <f t="shared" si="0"/>
        <v>52.08</v>
      </c>
      <c r="G9" s="80">
        <f t="shared" si="1"/>
        <v>0.86799999999999999</v>
      </c>
      <c r="H9" s="18">
        <f t="shared" si="2"/>
        <v>252.98000000000002</v>
      </c>
      <c r="I9" s="19"/>
      <c r="J9"/>
    </row>
    <row r="10" spans="1:18" x14ac:dyDescent="0.25">
      <c r="A10" s="33" t="s">
        <v>122</v>
      </c>
      <c r="B10" s="225"/>
      <c r="C10" s="225"/>
      <c r="D10" s="18">
        <v>0.45</v>
      </c>
      <c r="E10" s="18">
        <v>0.33</v>
      </c>
      <c r="F10" s="80">
        <f t="shared" si="0"/>
        <v>58.589999999999996</v>
      </c>
      <c r="G10" s="80">
        <f t="shared" si="1"/>
        <v>0.97650000000000003</v>
      </c>
      <c r="H10" s="18">
        <f t="shared" si="2"/>
        <v>321.09000000000003</v>
      </c>
      <c r="I10" s="19"/>
      <c r="J10"/>
    </row>
    <row r="11" spans="1:18" x14ac:dyDescent="0.25">
      <c r="A11"/>
      <c r="B11"/>
      <c r="C11"/>
      <c r="D11" s="18">
        <v>0.5</v>
      </c>
      <c r="E11" s="18">
        <v>0.4</v>
      </c>
      <c r="F11" s="80">
        <f t="shared" si="0"/>
        <v>65.099999999999994</v>
      </c>
      <c r="G11" s="80">
        <f t="shared" si="1"/>
        <v>1.085</v>
      </c>
      <c r="H11" s="18">
        <f t="shared" si="2"/>
        <v>389.20000000000005</v>
      </c>
      <c r="I11" s="19"/>
      <c r="J11"/>
    </row>
    <row r="12" spans="1:18" x14ac:dyDescent="0.25">
      <c r="A12" s="332" t="s">
        <v>396</v>
      </c>
      <c r="B12" s="118">
        <v>50</v>
      </c>
      <c r="C12" s="36"/>
      <c r="D12" s="18">
        <v>0.55000000000000004</v>
      </c>
      <c r="E12" s="18">
        <v>0.49</v>
      </c>
      <c r="F12" s="80">
        <f t="shared" si="0"/>
        <v>71.61</v>
      </c>
      <c r="G12" s="80">
        <f t="shared" si="1"/>
        <v>1.1935</v>
      </c>
      <c r="H12" s="18">
        <f t="shared" si="2"/>
        <v>476.77</v>
      </c>
      <c r="I12" s="19"/>
      <c r="J12"/>
    </row>
    <row r="13" spans="1:18" x14ac:dyDescent="0.25">
      <c r="A13" s="100" t="s">
        <v>397</v>
      </c>
      <c r="B13" s="118">
        <v>973</v>
      </c>
      <c r="C13" s="36"/>
      <c r="D13" s="18">
        <v>0.6</v>
      </c>
      <c r="E13" s="18">
        <v>0.57999999999999996</v>
      </c>
      <c r="F13" s="80">
        <f t="shared" si="0"/>
        <v>78.11999999999999</v>
      </c>
      <c r="G13" s="80">
        <f t="shared" si="1"/>
        <v>1.3019999999999998</v>
      </c>
      <c r="H13" s="18">
        <f t="shared" si="2"/>
        <v>564.33999999999992</v>
      </c>
      <c r="I13" s="19"/>
      <c r="J13"/>
    </row>
    <row r="14" spans="1:18" ht="15" customHeight="1" x14ac:dyDescent="0.25">
      <c r="A14" s="98" t="s">
        <v>398</v>
      </c>
      <c r="B14" s="220">
        <f>B15*60</f>
        <v>130.19999999999999</v>
      </c>
      <c r="C14" s="336"/>
      <c r="D14" s="221">
        <v>0.65</v>
      </c>
      <c r="E14" s="221">
        <v>0.67</v>
      </c>
      <c r="F14" s="246">
        <f t="shared" si="0"/>
        <v>84.63</v>
      </c>
      <c r="G14" s="246">
        <f t="shared" si="1"/>
        <v>1.4105000000000001</v>
      </c>
      <c r="H14" s="221">
        <f t="shared" si="2"/>
        <v>651.91000000000008</v>
      </c>
      <c r="I14" s="19"/>
      <c r="J14"/>
    </row>
    <row r="15" spans="1:18" x14ac:dyDescent="0.25">
      <c r="A15" s="36" t="s">
        <v>228</v>
      </c>
      <c r="B15" s="118">
        <v>2.17</v>
      </c>
      <c r="C15" s="36"/>
      <c r="D15" s="18">
        <v>0.7</v>
      </c>
      <c r="E15" s="18">
        <v>0.76</v>
      </c>
      <c r="F15" s="80">
        <f t="shared" si="0"/>
        <v>91.139999999999986</v>
      </c>
      <c r="G15" s="80">
        <f t="shared" si="1"/>
        <v>1.5189999999999999</v>
      </c>
      <c r="H15" s="18">
        <f t="shared" si="2"/>
        <v>739.48</v>
      </c>
      <c r="I15" s="19"/>
      <c r="J15"/>
    </row>
    <row r="16" spans="1:18" x14ac:dyDescent="0.25">
      <c r="A16" t="s">
        <v>399</v>
      </c>
      <c r="B16" s="17">
        <f>B17*640</f>
        <v>838.40000000000009</v>
      </c>
      <c r="C16" s="36"/>
      <c r="D16" s="18">
        <v>0.75</v>
      </c>
      <c r="E16" s="18">
        <v>0.84</v>
      </c>
      <c r="F16" s="80">
        <f t="shared" si="0"/>
        <v>97.649999999999991</v>
      </c>
      <c r="G16" s="80">
        <f t="shared" si="1"/>
        <v>1.6274999999999999</v>
      </c>
      <c r="H16" s="18">
        <f t="shared" si="2"/>
        <v>817.31999999999994</v>
      </c>
      <c r="I16" s="19"/>
      <c r="J16"/>
    </row>
    <row r="17" spans="1:10" x14ac:dyDescent="0.25">
      <c r="A17" s="33" t="s">
        <v>400</v>
      </c>
      <c r="B17" s="238">
        <v>1.31</v>
      </c>
      <c r="C17" s="36"/>
      <c r="D17" s="18">
        <v>0.8</v>
      </c>
      <c r="E17" s="18">
        <v>0.9</v>
      </c>
      <c r="F17" s="80">
        <f t="shared" si="0"/>
        <v>104.16</v>
      </c>
      <c r="G17" s="80">
        <f t="shared" si="1"/>
        <v>1.736</v>
      </c>
      <c r="H17" s="18">
        <f t="shared" si="2"/>
        <v>875.7</v>
      </c>
      <c r="I17" s="19"/>
      <c r="J17"/>
    </row>
    <row r="18" spans="1:10" x14ac:dyDescent="0.25">
      <c r="A18"/>
      <c r="B18"/>
      <c r="C18"/>
      <c r="D18" s="18">
        <v>0.85</v>
      </c>
      <c r="E18" s="18">
        <v>0.95</v>
      </c>
      <c r="F18" s="80">
        <f t="shared" si="0"/>
        <v>110.66999999999999</v>
      </c>
      <c r="G18" s="80">
        <f t="shared" si="1"/>
        <v>1.8444999999999998</v>
      </c>
      <c r="H18" s="18">
        <f t="shared" si="2"/>
        <v>924.34999999999991</v>
      </c>
      <c r="I18" s="19"/>
      <c r="J18"/>
    </row>
    <row r="19" spans="1:10" x14ac:dyDescent="0.25">
      <c r="A19"/>
      <c r="B19"/>
      <c r="C19"/>
      <c r="D19" s="18">
        <v>0.9</v>
      </c>
      <c r="E19" s="18">
        <v>0.98</v>
      </c>
      <c r="F19" s="80">
        <f t="shared" si="0"/>
        <v>117.17999999999999</v>
      </c>
      <c r="G19" s="80">
        <f t="shared" si="1"/>
        <v>1.9530000000000001</v>
      </c>
      <c r="H19" s="18">
        <f t="shared" si="2"/>
        <v>953.54</v>
      </c>
      <c r="I19" s="19"/>
      <c r="J19"/>
    </row>
    <row r="20" spans="1:10" x14ac:dyDescent="0.25">
      <c r="A20"/>
      <c r="B20" t="s">
        <v>128</v>
      </c>
      <c r="C20"/>
      <c r="D20" s="18">
        <v>0.95</v>
      </c>
      <c r="E20" s="18">
        <v>1</v>
      </c>
      <c r="F20" s="80">
        <f t="shared" si="0"/>
        <v>123.68999999999998</v>
      </c>
      <c r="G20" s="80">
        <f t="shared" si="1"/>
        <v>2.0614999999999997</v>
      </c>
      <c r="H20" s="18">
        <f t="shared" si="2"/>
        <v>973</v>
      </c>
      <c r="I20" s="19"/>
      <c r="J20"/>
    </row>
    <row r="21" spans="1:10" x14ac:dyDescent="0.25">
      <c r="A21"/>
      <c r="B21"/>
      <c r="C21"/>
      <c r="D21" s="18">
        <v>1</v>
      </c>
      <c r="E21" s="18">
        <v>0.99</v>
      </c>
      <c r="F21" s="80">
        <f t="shared" si="0"/>
        <v>130.19999999999999</v>
      </c>
      <c r="G21" s="80">
        <f t="shared" si="1"/>
        <v>2.17</v>
      </c>
      <c r="H21" s="18">
        <f t="shared" si="2"/>
        <v>963.27</v>
      </c>
      <c r="I21" s="19"/>
      <c r="J21"/>
    </row>
    <row r="22" spans="1:10" x14ac:dyDescent="0.25">
      <c r="A22"/>
      <c r="B22"/>
      <c r="C22"/>
      <c r="D22" s="18">
        <v>1.05</v>
      </c>
      <c r="E22" s="18">
        <v>0.96</v>
      </c>
      <c r="F22" s="80">
        <f t="shared" si="0"/>
        <v>136.71</v>
      </c>
      <c r="G22" s="80">
        <f t="shared" si="1"/>
        <v>2.2785000000000002</v>
      </c>
      <c r="H22" s="18">
        <f t="shared" si="2"/>
        <v>934.07999999999993</v>
      </c>
      <c r="I22" s="19"/>
      <c r="J22"/>
    </row>
    <row r="23" spans="1:10" x14ac:dyDescent="0.25">
      <c r="A23"/>
      <c r="B23"/>
      <c r="C23"/>
      <c r="D23" s="18">
        <v>1.1000000000000001</v>
      </c>
      <c r="E23" s="18">
        <v>0.92</v>
      </c>
      <c r="F23" s="80">
        <f t="shared" si="0"/>
        <v>143.22</v>
      </c>
      <c r="G23" s="80">
        <f t="shared" si="1"/>
        <v>2.387</v>
      </c>
      <c r="H23" s="18">
        <f t="shared" si="2"/>
        <v>895.16000000000008</v>
      </c>
      <c r="I23" s="19"/>
      <c r="J23"/>
    </row>
    <row r="24" spans="1:10" x14ac:dyDescent="0.25">
      <c r="A24"/>
      <c r="B24"/>
      <c r="C24"/>
      <c r="D24" s="18">
        <v>1.1499999999999999</v>
      </c>
      <c r="E24" s="18">
        <v>0.86</v>
      </c>
      <c r="F24" s="80">
        <f t="shared" si="0"/>
        <v>149.72999999999996</v>
      </c>
      <c r="G24" s="80">
        <f t="shared" si="1"/>
        <v>2.4954999999999998</v>
      </c>
      <c r="H24" s="18">
        <f t="shared" si="2"/>
        <v>836.78</v>
      </c>
      <c r="I24" s="19"/>
      <c r="J24"/>
    </row>
    <row r="25" spans="1:10" x14ac:dyDescent="0.25">
      <c r="A25"/>
      <c r="B25"/>
      <c r="C25"/>
      <c r="D25" s="18">
        <v>1.2</v>
      </c>
      <c r="E25" s="18">
        <v>0.8</v>
      </c>
      <c r="F25" s="80">
        <f t="shared" si="0"/>
        <v>156.23999999999998</v>
      </c>
      <c r="G25" s="80">
        <f t="shared" si="1"/>
        <v>2.6039999999999996</v>
      </c>
      <c r="H25" s="18">
        <f t="shared" si="2"/>
        <v>778.40000000000009</v>
      </c>
      <c r="I25" s="19"/>
      <c r="J25"/>
    </row>
    <row r="26" spans="1:10" x14ac:dyDescent="0.25">
      <c r="A26"/>
      <c r="B26" s="1"/>
      <c r="C26"/>
      <c r="D26" s="18">
        <v>1.25</v>
      </c>
      <c r="E26" s="18">
        <v>0.74</v>
      </c>
      <c r="F26" s="80">
        <f t="shared" si="0"/>
        <v>162.75</v>
      </c>
      <c r="G26" s="80">
        <f t="shared" si="1"/>
        <v>2.7124999999999999</v>
      </c>
      <c r="H26" s="18">
        <f t="shared" si="2"/>
        <v>720.02</v>
      </c>
      <c r="I26" s="19"/>
      <c r="J26"/>
    </row>
    <row r="27" spans="1:10" x14ac:dyDescent="0.25">
      <c r="A27"/>
      <c r="B27"/>
      <c r="C27"/>
      <c r="D27" s="18">
        <v>1.3</v>
      </c>
      <c r="E27" s="18">
        <v>0.68</v>
      </c>
      <c r="F27" s="80">
        <f t="shared" si="0"/>
        <v>169.26</v>
      </c>
      <c r="G27" s="80">
        <f t="shared" si="1"/>
        <v>2.8210000000000002</v>
      </c>
      <c r="H27" s="18">
        <f t="shared" si="2"/>
        <v>661.6400000000001</v>
      </c>
      <c r="I27" s="19"/>
      <c r="J27"/>
    </row>
    <row r="28" spans="1:10" x14ac:dyDescent="0.25">
      <c r="A28"/>
      <c r="B28"/>
      <c r="C28"/>
      <c r="D28" s="18">
        <v>1.35</v>
      </c>
      <c r="E28" s="18">
        <v>0.62</v>
      </c>
      <c r="F28" s="80">
        <f t="shared" si="0"/>
        <v>175.77</v>
      </c>
      <c r="G28" s="80">
        <f t="shared" si="1"/>
        <v>2.9295</v>
      </c>
      <c r="H28" s="18">
        <f t="shared" si="2"/>
        <v>603.26</v>
      </c>
      <c r="I28" s="19"/>
      <c r="J28"/>
    </row>
    <row r="29" spans="1:10" x14ac:dyDescent="0.25">
      <c r="A29"/>
      <c r="B29"/>
      <c r="C29"/>
      <c r="D29" s="18">
        <v>1.4</v>
      </c>
      <c r="E29" s="18">
        <v>0.56000000000000005</v>
      </c>
      <c r="F29" s="80">
        <f t="shared" si="0"/>
        <v>182.27999999999997</v>
      </c>
      <c r="G29" s="80">
        <f t="shared" si="1"/>
        <v>3.0379999999999998</v>
      </c>
      <c r="H29" s="18">
        <f t="shared" si="2"/>
        <v>544.88</v>
      </c>
      <c r="I29" s="19"/>
      <c r="J29"/>
    </row>
    <row r="30" spans="1:10" x14ac:dyDescent="0.25">
      <c r="A30"/>
      <c r="B30"/>
      <c r="C30"/>
      <c r="D30" s="18">
        <v>1.45</v>
      </c>
      <c r="E30" s="18">
        <v>0.51</v>
      </c>
      <c r="F30" s="80">
        <f t="shared" si="0"/>
        <v>188.78999999999996</v>
      </c>
      <c r="G30" s="80">
        <f t="shared" si="1"/>
        <v>3.1464999999999996</v>
      </c>
      <c r="H30" s="18">
        <f t="shared" si="2"/>
        <v>496.23</v>
      </c>
      <c r="I30" s="19"/>
      <c r="J30"/>
    </row>
    <row r="31" spans="1:10" x14ac:dyDescent="0.25">
      <c r="A31"/>
      <c r="B31"/>
      <c r="C31"/>
      <c r="D31" s="18">
        <v>1.5</v>
      </c>
      <c r="E31" s="18">
        <v>0.47</v>
      </c>
      <c r="F31" s="80">
        <f t="shared" si="0"/>
        <v>195.29999999999998</v>
      </c>
      <c r="G31" s="80">
        <f t="shared" si="1"/>
        <v>3.2549999999999999</v>
      </c>
      <c r="H31" s="18">
        <f t="shared" si="2"/>
        <v>457.31</v>
      </c>
      <c r="I31" s="19"/>
      <c r="J31"/>
    </row>
    <row r="32" spans="1:10" x14ac:dyDescent="0.25">
      <c r="A32"/>
      <c r="B32"/>
      <c r="C32"/>
      <c r="D32" s="18">
        <v>1.55</v>
      </c>
      <c r="E32" s="18">
        <v>0.43</v>
      </c>
      <c r="F32" s="80">
        <f t="shared" si="0"/>
        <v>201.81</v>
      </c>
      <c r="G32" s="80">
        <f t="shared" si="1"/>
        <v>3.3635000000000002</v>
      </c>
      <c r="H32" s="18">
        <f t="shared" si="2"/>
        <v>418.39</v>
      </c>
      <c r="I32" s="19"/>
      <c r="J32"/>
    </row>
    <row r="33" spans="1:18" x14ac:dyDescent="0.25">
      <c r="A33"/>
      <c r="B33"/>
      <c r="C33"/>
      <c r="D33" s="18">
        <v>1.6</v>
      </c>
      <c r="E33" s="18">
        <v>0.39</v>
      </c>
      <c r="F33" s="80">
        <f t="shared" si="0"/>
        <v>208.32</v>
      </c>
      <c r="G33" s="80">
        <f t="shared" si="1"/>
        <v>3.472</v>
      </c>
      <c r="H33" s="18">
        <f t="shared" si="2"/>
        <v>379.47</v>
      </c>
      <c r="I33" s="19"/>
      <c r="J33"/>
    </row>
    <row r="34" spans="1:18" x14ac:dyDescent="0.25">
      <c r="A34"/>
      <c r="B34"/>
      <c r="C34"/>
      <c r="D34" s="18">
        <v>1.65</v>
      </c>
      <c r="E34" s="18">
        <v>0.36</v>
      </c>
      <c r="F34" s="80">
        <f t="shared" si="0"/>
        <v>214.82999999999996</v>
      </c>
      <c r="G34" s="80">
        <f t="shared" si="1"/>
        <v>3.5804999999999998</v>
      </c>
      <c r="H34" s="18">
        <f t="shared" si="2"/>
        <v>350.28</v>
      </c>
      <c r="I34" s="19"/>
      <c r="J34"/>
    </row>
    <row r="35" spans="1:18" x14ac:dyDescent="0.25">
      <c r="A35"/>
      <c r="B35"/>
      <c r="C35"/>
      <c r="D35" s="18">
        <v>1.7</v>
      </c>
      <c r="E35" s="18">
        <v>0.33</v>
      </c>
      <c r="F35" s="80">
        <f t="shared" si="0"/>
        <v>221.33999999999997</v>
      </c>
      <c r="G35" s="80">
        <f t="shared" si="1"/>
        <v>3.6889999999999996</v>
      </c>
      <c r="H35" s="18">
        <f t="shared" si="2"/>
        <v>321.09000000000003</v>
      </c>
      <c r="I35" s="19"/>
      <c r="J35"/>
      <c r="K35"/>
      <c r="L35"/>
      <c r="M35"/>
      <c r="N35"/>
      <c r="O35"/>
      <c r="P35"/>
      <c r="Q35"/>
      <c r="R35"/>
    </row>
    <row r="36" spans="1:18" x14ac:dyDescent="0.25">
      <c r="A36"/>
      <c r="B36"/>
      <c r="C36"/>
      <c r="D36" s="18">
        <v>1.75</v>
      </c>
      <c r="E36" s="18">
        <v>0.3</v>
      </c>
      <c r="F36" s="80">
        <f t="shared" si="0"/>
        <v>227.84999999999997</v>
      </c>
      <c r="G36" s="80">
        <f t="shared" si="1"/>
        <v>3.7974999999999999</v>
      </c>
      <c r="H36" s="18">
        <f t="shared" si="2"/>
        <v>291.89999999999998</v>
      </c>
      <c r="I36" s="19"/>
      <c r="J36"/>
      <c r="K36"/>
      <c r="L36"/>
      <c r="M36"/>
      <c r="N36"/>
      <c r="O36"/>
      <c r="P36"/>
      <c r="Q36"/>
      <c r="R36"/>
    </row>
    <row r="37" spans="1:18" x14ac:dyDescent="0.25">
      <c r="A37"/>
      <c r="B37"/>
      <c r="C37"/>
      <c r="D37" s="18">
        <v>1.8</v>
      </c>
      <c r="E37" s="18">
        <v>0.28000000000000003</v>
      </c>
      <c r="F37" s="80">
        <f t="shared" si="0"/>
        <v>234.35999999999999</v>
      </c>
      <c r="G37" s="80">
        <f t="shared" si="1"/>
        <v>3.9060000000000001</v>
      </c>
      <c r="H37" s="18">
        <f t="shared" si="2"/>
        <v>272.44</v>
      </c>
      <c r="I37" s="19"/>
      <c r="J37"/>
      <c r="K37"/>
      <c r="L37"/>
      <c r="M37"/>
      <c r="N37"/>
      <c r="O37"/>
      <c r="P37"/>
      <c r="Q37"/>
      <c r="R37"/>
    </row>
    <row r="38" spans="1:18" x14ac:dyDescent="0.25">
      <c r="A38"/>
      <c r="B38"/>
      <c r="C38"/>
      <c r="D38" s="18">
        <v>1.85</v>
      </c>
      <c r="E38" s="18">
        <v>0.26</v>
      </c>
      <c r="F38" s="80">
        <f t="shared" si="0"/>
        <v>240.87</v>
      </c>
      <c r="G38" s="80">
        <f t="shared" si="1"/>
        <v>4.0145</v>
      </c>
      <c r="H38" s="18">
        <f t="shared" si="2"/>
        <v>252.98000000000002</v>
      </c>
      <c r="I38" s="19"/>
      <c r="J38"/>
      <c r="K38"/>
      <c r="L38"/>
      <c r="M38"/>
      <c r="N38"/>
      <c r="O38"/>
      <c r="P38"/>
      <c r="Q38"/>
      <c r="R38"/>
    </row>
    <row r="39" spans="1:18" x14ac:dyDescent="0.25">
      <c r="A39"/>
      <c r="B39"/>
      <c r="C39"/>
      <c r="D39" s="18">
        <v>1.9</v>
      </c>
      <c r="E39" s="18">
        <v>0.24</v>
      </c>
      <c r="F39" s="80">
        <f t="shared" si="0"/>
        <v>247.37999999999997</v>
      </c>
      <c r="G39" s="80">
        <f t="shared" si="1"/>
        <v>4.1229999999999993</v>
      </c>
      <c r="H39" s="18">
        <f t="shared" si="2"/>
        <v>233.51999999999998</v>
      </c>
      <c r="I39" s="19"/>
      <c r="J39"/>
      <c r="K39"/>
      <c r="L39"/>
      <c r="M39"/>
      <c r="N39"/>
      <c r="O39"/>
      <c r="P39"/>
      <c r="Q39"/>
      <c r="R39"/>
    </row>
    <row r="40" spans="1:18" x14ac:dyDescent="0.25">
      <c r="A40"/>
      <c r="B40"/>
      <c r="C40"/>
      <c r="D40" s="18">
        <v>1.95</v>
      </c>
      <c r="E40" s="18">
        <v>0.22</v>
      </c>
      <c r="F40" s="80">
        <f t="shared" si="0"/>
        <v>253.88999999999996</v>
      </c>
      <c r="G40" s="80">
        <f t="shared" si="1"/>
        <v>4.2314999999999996</v>
      </c>
      <c r="H40" s="18">
        <f t="shared" si="2"/>
        <v>214.06</v>
      </c>
      <c r="I40" s="19"/>
      <c r="J40"/>
      <c r="K40"/>
      <c r="L40"/>
      <c r="M40"/>
      <c r="N40"/>
      <c r="O40"/>
      <c r="P40"/>
      <c r="Q40"/>
      <c r="R40"/>
    </row>
    <row r="41" spans="1:18" x14ac:dyDescent="0.25">
      <c r="A41"/>
      <c r="B41"/>
      <c r="C41"/>
      <c r="D41" s="18">
        <v>2</v>
      </c>
      <c r="E41" s="18">
        <v>0.2</v>
      </c>
      <c r="F41" s="80">
        <f t="shared" si="0"/>
        <v>260.39999999999998</v>
      </c>
      <c r="G41" s="80">
        <f t="shared" si="1"/>
        <v>4.34</v>
      </c>
      <c r="H41" s="18">
        <f t="shared" si="2"/>
        <v>194.60000000000002</v>
      </c>
      <c r="I41" s="19"/>
      <c r="J41"/>
      <c r="K41"/>
      <c r="L41"/>
      <c r="M41"/>
      <c r="N41"/>
      <c r="O41"/>
      <c r="P41"/>
      <c r="Q41"/>
      <c r="R41"/>
    </row>
    <row r="42" spans="1:18" x14ac:dyDescent="0.25">
      <c r="A42"/>
      <c r="B42"/>
      <c r="C42"/>
      <c r="D42" s="18">
        <v>2.0499999999999998</v>
      </c>
      <c r="E42" s="18">
        <v>0.19</v>
      </c>
      <c r="F42" s="80">
        <f t="shared" si="0"/>
        <v>266.90999999999997</v>
      </c>
      <c r="G42" s="80">
        <f t="shared" si="1"/>
        <v>4.4484999999999992</v>
      </c>
      <c r="H42" s="18">
        <f t="shared" si="2"/>
        <v>184.87</v>
      </c>
      <c r="I42" s="19"/>
      <c r="J42"/>
      <c r="K42"/>
      <c r="L42"/>
      <c r="M42"/>
      <c r="N42"/>
      <c r="O42"/>
      <c r="P42"/>
      <c r="Q42"/>
      <c r="R42"/>
    </row>
    <row r="43" spans="1:18" x14ac:dyDescent="0.25">
      <c r="A43"/>
      <c r="B43"/>
      <c r="C43"/>
      <c r="D43" s="18">
        <v>2.1</v>
      </c>
      <c r="E43" s="18">
        <v>0.17</v>
      </c>
      <c r="F43" s="80">
        <f t="shared" si="0"/>
        <v>273.42</v>
      </c>
      <c r="G43" s="80">
        <f t="shared" si="1"/>
        <v>4.5570000000000004</v>
      </c>
      <c r="H43" s="18">
        <f t="shared" si="2"/>
        <v>165.41000000000003</v>
      </c>
      <c r="I43" s="19"/>
      <c r="J43"/>
      <c r="K43"/>
      <c r="L43"/>
      <c r="M43"/>
      <c r="N43"/>
      <c r="O43"/>
      <c r="P43"/>
      <c r="Q43"/>
      <c r="R43"/>
    </row>
    <row r="44" spans="1:18" x14ac:dyDescent="0.25">
      <c r="A44"/>
      <c r="B44"/>
      <c r="C44"/>
      <c r="D44" s="18">
        <v>2.15</v>
      </c>
      <c r="E44" s="18">
        <v>0.16</v>
      </c>
      <c r="F44" s="80">
        <f t="shared" si="0"/>
        <v>279.92999999999995</v>
      </c>
      <c r="G44" s="80">
        <f t="shared" si="1"/>
        <v>4.6654999999999998</v>
      </c>
      <c r="H44" s="18">
        <f t="shared" si="2"/>
        <v>155.68</v>
      </c>
      <c r="I44" s="19"/>
      <c r="J44"/>
      <c r="K44"/>
      <c r="L44"/>
      <c r="M44"/>
      <c r="N44"/>
      <c r="O44"/>
      <c r="P44"/>
      <c r="Q44"/>
      <c r="R44"/>
    </row>
    <row r="45" spans="1:18" x14ac:dyDescent="0.25">
      <c r="A45"/>
      <c r="B45"/>
      <c r="C45"/>
      <c r="D45" s="18">
        <v>2.2000000000000002</v>
      </c>
      <c r="E45" s="18">
        <v>0.15</v>
      </c>
      <c r="F45" s="80">
        <f t="shared" si="0"/>
        <v>286.44</v>
      </c>
      <c r="G45" s="80">
        <f t="shared" si="1"/>
        <v>4.774</v>
      </c>
      <c r="H45" s="18">
        <f t="shared" si="2"/>
        <v>145.94999999999999</v>
      </c>
      <c r="I45" s="19"/>
      <c r="J45"/>
      <c r="K45"/>
      <c r="L45"/>
      <c r="M45"/>
      <c r="N45"/>
      <c r="O45"/>
      <c r="P45"/>
      <c r="Q45"/>
      <c r="R45"/>
    </row>
    <row r="46" spans="1:18" x14ac:dyDescent="0.25">
      <c r="A46"/>
      <c r="B46"/>
      <c r="C46"/>
      <c r="D46" s="18">
        <v>2.25</v>
      </c>
      <c r="E46" s="18">
        <v>0.14000000000000001</v>
      </c>
      <c r="F46" s="80">
        <f t="shared" si="0"/>
        <v>292.95</v>
      </c>
      <c r="G46" s="80">
        <f t="shared" si="1"/>
        <v>4.8825000000000003</v>
      </c>
      <c r="H46" s="18">
        <f t="shared" si="2"/>
        <v>136.22</v>
      </c>
      <c r="I46" s="19"/>
      <c r="J46"/>
      <c r="K46"/>
      <c r="L46"/>
      <c r="M46"/>
      <c r="N46"/>
      <c r="O46"/>
      <c r="P46"/>
      <c r="Q46"/>
      <c r="R46"/>
    </row>
    <row r="47" spans="1:18" x14ac:dyDescent="0.25">
      <c r="A47"/>
      <c r="B47"/>
      <c r="C47"/>
      <c r="D47" s="18">
        <v>2.2999999999999998</v>
      </c>
      <c r="E47" s="18">
        <v>0.13</v>
      </c>
      <c r="F47" s="80">
        <f t="shared" si="0"/>
        <v>299.45999999999992</v>
      </c>
      <c r="G47" s="80">
        <f t="shared" si="1"/>
        <v>4.9909999999999997</v>
      </c>
      <c r="H47" s="18">
        <f t="shared" si="2"/>
        <v>126.49000000000001</v>
      </c>
      <c r="I47" s="19"/>
      <c r="J47"/>
      <c r="K47"/>
      <c r="L47"/>
      <c r="M47"/>
      <c r="N47"/>
      <c r="O47"/>
      <c r="P47"/>
      <c r="Q47"/>
      <c r="R47"/>
    </row>
    <row r="48" spans="1:18" x14ac:dyDescent="0.25">
      <c r="A48"/>
      <c r="B48"/>
      <c r="C48"/>
      <c r="D48" s="18">
        <v>2.35</v>
      </c>
      <c r="E48" s="18">
        <v>0.12</v>
      </c>
      <c r="F48" s="80">
        <f t="shared" si="0"/>
        <v>305.96999999999997</v>
      </c>
      <c r="G48" s="80">
        <f t="shared" si="1"/>
        <v>5.0994999999999999</v>
      </c>
      <c r="H48" s="18">
        <f t="shared" si="2"/>
        <v>116.75999999999999</v>
      </c>
      <c r="I48" s="19"/>
      <c r="J48"/>
      <c r="K48"/>
      <c r="L48"/>
      <c r="M48"/>
      <c r="N48"/>
      <c r="O48"/>
      <c r="P48"/>
      <c r="Q48"/>
      <c r="R48"/>
    </row>
    <row r="49" spans="1:18" x14ac:dyDescent="0.25">
      <c r="A49"/>
      <c r="B49"/>
      <c r="C49"/>
      <c r="D49" s="18">
        <v>2.4</v>
      </c>
      <c r="E49" s="18">
        <v>0.11</v>
      </c>
      <c r="F49" s="80">
        <f t="shared" si="0"/>
        <v>312.47999999999996</v>
      </c>
      <c r="G49" s="80">
        <f t="shared" si="1"/>
        <v>5.2079999999999993</v>
      </c>
      <c r="H49" s="18">
        <f t="shared" si="2"/>
        <v>107.03</v>
      </c>
      <c r="I49"/>
      <c r="J49"/>
      <c r="K49"/>
      <c r="L49"/>
      <c r="M49"/>
      <c r="N49"/>
      <c r="O49"/>
      <c r="P49"/>
      <c r="Q49"/>
      <c r="R49"/>
    </row>
  </sheetData>
  <sheetProtection algorithmName="SHA-512" hashValue="se5QzZsnARVlm23XQj89tJLBwEGyr+w7d+izSxfkTNowzZ+U9kS77dNO6+G/WjFub+oL5wRIv/g4ha2eisQHEw==" saltValue="cdBtyxumx9QBNO4ItMKszw==" spinCount="100000" sheet="1" selectLockedCells="1"/>
  <mergeCells count="1">
    <mergeCell ref="D1:F1"/>
  </mergeCells>
  <pageMargins left="0.7" right="0.7" top="0.75" bottom="0.75" header="0.3" footer="0.3"/>
  <pageSetup scale="9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J52"/>
  <sheetViews>
    <sheetView zoomScaleNormal="100" workbookViewId="0">
      <selection activeCell="K2" sqref="K2"/>
    </sheetView>
  </sheetViews>
  <sheetFormatPr defaultColWidth="8.85546875" defaultRowHeight="15" x14ac:dyDescent="0.25"/>
  <cols>
    <col min="1" max="1" width="15" style="13" customWidth="1"/>
    <col min="2" max="3" width="9.7109375" style="13" customWidth="1"/>
    <col min="4" max="4" width="9.42578125" style="13" customWidth="1"/>
    <col min="5" max="5" width="9.140625" style="13" customWidth="1"/>
    <col min="6" max="7" width="8.85546875" style="13"/>
    <col min="8" max="8" width="9.7109375" style="13" customWidth="1"/>
    <col min="9" max="9" width="8.85546875" style="13"/>
    <col min="10" max="10" width="10.85546875" style="13" customWidth="1"/>
    <col min="11" max="16384" width="8.85546875" style="13"/>
  </cols>
  <sheetData>
    <row r="1" spans="1:10" ht="18.75" x14ac:dyDescent="0.3">
      <c r="A1"/>
      <c r="B1"/>
      <c r="C1"/>
      <c r="D1" s="581" t="s">
        <v>639</v>
      </c>
      <c r="E1" s="581"/>
      <c r="F1" s="581"/>
      <c r="G1" s="582"/>
      <c r="H1" s="582"/>
      <c r="I1" s="582"/>
      <c r="J1" s="319"/>
    </row>
    <row r="2" spans="1:10" x14ac:dyDescent="0.25">
      <c r="A2"/>
      <c r="B2"/>
      <c r="C2"/>
      <c r="D2"/>
      <c r="E2"/>
      <c r="F2"/>
      <c r="G2"/>
      <c r="H2"/>
      <c r="I2"/>
      <c r="J2"/>
    </row>
    <row r="3" spans="1:10" x14ac:dyDescent="0.25">
      <c r="A3" s="1" t="s">
        <v>0</v>
      </c>
      <c r="B3" s="117"/>
      <c r="C3" s="225"/>
      <c r="D3" s="19" t="s">
        <v>257</v>
      </c>
      <c r="E3" s="80" t="s">
        <v>258</v>
      </c>
      <c r="F3" s="80" t="s">
        <v>259</v>
      </c>
      <c r="G3" s="80" t="s">
        <v>259</v>
      </c>
      <c r="H3" s="80" t="s">
        <v>259</v>
      </c>
      <c r="I3" s="18" t="s">
        <v>195</v>
      </c>
      <c r="J3" s="59" t="s">
        <v>344</v>
      </c>
    </row>
    <row r="4" spans="1:10" x14ac:dyDescent="0.25">
      <c r="A4" s="1" t="s">
        <v>4</v>
      </c>
      <c r="B4" s="117" t="s">
        <v>229</v>
      </c>
      <c r="C4" s="118"/>
      <c r="D4" s="18" t="s">
        <v>260</v>
      </c>
      <c r="E4" s="17" t="s">
        <v>261</v>
      </c>
      <c r="F4" s="80"/>
      <c r="G4" s="80"/>
      <c r="H4" s="80"/>
      <c r="I4" s="18" t="s">
        <v>366</v>
      </c>
      <c r="J4" s="59" t="s">
        <v>200</v>
      </c>
    </row>
    <row r="5" spans="1:10" x14ac:dyDescent="0.25">
      <c r="A5" s="1" t="s">
        <v>173</v>
      </c>
      <c r="B5" s="117" t="s">
        <v>232</v>
      </c>
      <c r="C5" s="225"/>
      <c r="D5" s="269"/>
      <c r="E5" s="72" t="s">
        <v>262</v>
      </c>
      <c r="F5" s="263" t="s">
        <v>26</v>
      </c>
      <c r="G5" s="263" t="s">
        <v>263</v>
      </c>
      <c r="H5" s="263" t="s">
        <v>265</v>
      </c>
      <c r="I5" s="70" t="s">
        <v>197</v>
      </c>
      <c r="J5" s="73" t="s">
        <v>266</v>
      </c>
    </row>
    <row r="6" spans="1:10" x14ac:dyDescent="0.25">
      <c r="A6" s="1" t="s">
        <v>118</v>
      </c>
      <c r="B6" s="333" t="s">
        <v>231</v>
      </c>
      <c r="C6" s="225"/>
      <c r="D6" s="18">
        <v>0.25</v>
      </c>
      <c r="E6" s="18">
        <v>0.12</v>
      </c>
      <c r="F6" s="80">
        <f>$B$14*D6</f>
        <v>32.549999999999997</v>
      </c>
      <c r="G6" s="80">
        <f t="shared" ref="G6:G48" si="0">$B$15*D6</f>
        <v>0.54249999999999998</v>
      </c>
      <c r="H6" s="54">
        <f t="shared" ref="H6:H48" si="1">F6*60</f>
        <v>1952.9999999999998</v>
      </c>
      <c r="I6" s="18">
        <f>$B$13*E6</f>
        <v>116.75999999999999</v>
      </c>
      <c r="J6" s="59">
        <f>(I6+I7)/2*(H7-H6)</f>
        <v>53207.532000000021</v>
      </c>
    </row>
    <row r="7" spans="1:10" x14ac:dyDescent="0.25">
      <c r="A7" s="33" t="s">
        <v>164</v>
      </c>
      <c r="B7" s="310"/>
      <c r="C7" s="225"/>
      <c r="D7" s="18">
        <v>0.3</v>
      </c>
      <c r="E7" s="18">
        <v>0.16</v>
      </c>
      <c r="F7" s="80">
        <f t="shared" ref="F7:F48" si="2">$B$14*D7</f>
        <v>39.059999999999995</v>
      </c>
      <c r="G7" s="80">
        <f t="shared" si="0"/>
        <v>0.65099999999999991</v>
      </c>
      <c r="H7" s="54">
        <f t="shared" si="1"/>
        <v>2343.6</v>
      </c>
      <c r="I7" s="18">
        <f t="shared" ref="I7:I48" si="3">$B$13*E7</f>
        <v>155.68</v>
      </c>
      <c r="J7" s="59">
        <f t="shared" ref="J7:J47" si="4">(I7+I8)/2*(H8-H7)</f>
        <v>70309.95299999998</v>
      </c>
    </row>
    <row r="8" spans="1:10" x14ac:dyDescent="0.25">
      <c r="A8" s="1" t="s">
        <v>10</v>
      </c>
      <c r="B8" s="335" t="s">
        <v>230</v>
      </c>
      <c r="C8" s="225"/>
      <c r="D8" s="18">
        <v>0.35</v>
      </c>
      <c r="E8" s="18">
        <v>0.21</v>
      </c>
      <c r="F8" s="80">
        <f t="shared" si="2"/>
        <v>45.569999999999993</v>
      </c>
      <c r="G8" s="80">
        <f t="shared" si="0"/>
        <v>0.75949999999999995</v>
      </c>
      <c r="H8" s="54">
        <f t="shared" si="1"/>
        <v>2734.2</v>
      </c>
      <c r="I8" s="18">
        <f t="shared" si="3"/>
        <v>204.32999999999998</v>
      </c>
      <c r="J8" s="59">
        <f t="shared" si="4"/>
        <v>89312.642999999982</v>
      </c>
    </row>
    <row r="9" spans="1:10" x14ac:dyDescent="0.25">
      <c r="A9" s="1" t="s">
        <v>395</v>
      </c>
      <c r="B9" s="298"/>
      <c r="C9" s="225"/>
      <c r="D9" s="18">
        <v>0.4</v>
      </c>
      <c r="E9" s="18">
        <v>0.26</v>
      </c>
      <c r="F9" s="80">
        <f t="shared" si="2"/>
        <v>52.08</v>
      </c>
      <c r="G9" s="80">
        <f t="shared" si="0"/>
        <v>0.86799999999999999</v>
      </c>
      <c r="H9" s="54">
        <f t="shared" si="1"/>
        <v>3124.7999999999997</v>
      </c>
      <c r="I9" s="18">
        <f t="shared" si="3"/>
        <v>252.98000000000002</v>
      </c>
      <c r="J9" s="59">
        <f t="shared" si="4"/>
        <v>112115.87099999998</v>
      </c>
    </row>
    <row r="10" spans="1:10" x14ac:dyDescent="0.25">
      <c r="A10" s="33" t="s">
        <v>122</v>
      </c>
      <c r="B10" s="310" t="s">
        <v>2</v>
      </c>
      <c r="C10" s="225"/>
      <c r="D10" s="18">
        <v>0.45</v>
      </c>
      <c r="E10" s="18">
        <v>0.33</v>
      </c>
      <c r="F10" s="80">
        <f t="shared" si="2"/>
        <v>58.589999999999996</v>
      </c>
      <c r="G10" s="80">
        <f t="shared" si="0"/>
        <v>0.97650000000000003</v>
      </c>
      <c r="H10" s="54">
        <f t="shared" si="1"/>
        <v>3515.3999999999996</v>
      </c>
      <c r="I10" s="18">
        <f t="shared" si="3"/>
        <v>321.09000000000003</v>
      </c>
      <c r="J10" s="59">
        <f t="shared" si="4"/>
        <v>138719.63699999999</v>
      </c>
    </row>
    <row r="11" spans="1:10" x14ac:dyDescent="0.25">
      <c r="A11"/>
      <c r="D11" s="18">
        <v>0.5</v>
      </c>
      <c r="E11" s="18">
        <v>0.4</v>
      </c>
      <c r="F11" s="80">
        <f t="shared" si="2"/>
        <v>65.099999999999994</v>
      </c>
      <c r="G11" s="80">
        <f t="shared" si="0"/>
        <v>1.085</v>
      </c>
      <c r="H11" s="54">
        <f t="shared" si="1"/>
        <v>3905.9999999999995</v>
      </c>
      <c r="I11" s="18">
        <f t="shared" si="3"/>
        <v>389.20000000000005</v>
      </c>
      <c r="J11" s="59">
        <f t="shared" si="4"/>
        <v>169123.94100000037</v>
      </c>
    </row>
    <row r="12" spans="1:10" x14ac:dyDescent="0.25">
      <c r="A12" s="332" t="s">
        <v>396</v>
      </c>
      <c r="B12" s="118">
        <v>50</v>
      </c>
      <c r="C12" s="477"/>
      <c r="D12" s="18">
        <v>0.55000000000000004</v>
      </c>
      <c r="E12" s="18">
        <v>0.49</v>
      </c>
      <c r="F12" s="80">
        <f t="shared" si="2"/>
        <v>71.61</v>
      </c>
      <c r="G12" s="80">
        <f t="shared" si="0"/>
        <v>1.1935</v>
      </c>
      <c r="H12" s="54">
        <f t="shared" si="1"/>
        <v>4296.6000000000004</v>
      </c>
      <c r="I12" s="18">
        <f t="shared" si="3"/>
        <v>476.77</v>
      </c>
      <c r="J12" s="59">
        <f t="shared" si="4"/>
        <v>203328.7829999997</v>
      </c>
    </row>
    <row r="13" spans="1:10" x14ac:dyDescent="0.25">
      <c r="A13" s="100" t="s">
        <v>397</v>
      </c>
      <c r="B13" s="118">
        <v>973</v>
      </c>
      <c r="C13" s="477"/>
      <c r="D13" s="18">
        <v>0.6</v>
      </c>
      <c r="E13" s="18">
        <v>0.57999999999999996</v>
      </c>
      <c r="F13" s="80">
        <f t="shared" si="2"/>
        <v>78.11999999999999</v>
      </c>
      <c r="G13" s="80">
        <f t="shared" si="0"/>
        <v>1.3019999999999998</v>
      </c>
      <c r="H13" s="54">
        <f t="shared" si="1"/>
        <v>4687.2</v>
      </c>
      <c r="I13" s="18">
        <f t="shared" si="3"/>
        <v>564.33999999999992</v>
      </c>
      <c r="J13" s="59">
        <f>(I13+I14)/2*(H14-H13)</f>
        <v>237533.62499999968</v>
      </c>
    </row>
    <row r="14" spans="1:10" ht="15" customHeight="1" x14ac:dyDescent="0.25">
      <c r="A14" s="98" t="s">
        <v>398</v>
      </c>
      <c r="B14" s="220">
        <f>B15*60</f>
        <v>130.19999999999999</v>
      </c>
      <c r="C14" s="478"/>
      <c r="D14" s="221">
        <v>0.65</v>
      </c>
      <c r="E14" s="221">
        <v>0.67</v>
      </c>
      <c r="F14" s="80">
        <f t="shared" si="2"/>
        <v>84.63</v>
      </c>
      <c r="G14" s="80">
        <f t="shared" si="0"/>
        <v>1.4105000000000001</v>
      </c>
      <c r="H14" s="223">
        <f t="shared" si="1"/>
        <v>5077.7999999999993</v>
      </c>
      <c r="I14" s="18">
        <f t="shared" si="3"/>
        <v>651.91000000000008</v>
      </c>
      <c r="J14" s="222">
        <f t="shared" si="4"/>
        <v>271738.4670000003</v>
      </c>
    </row>
    <row r="15" spans="1:10" x14ac:dyDescent="0.25">
      <c r="A15" s="36" t="s">
        <v>228</v>
      </c>
      <c r="B15" s="118">
        <v>2.17</v>
      </c>
      <c r="C15" s="477"/>
      <c r="D15" s="18">
        <v>0.7</v>
      </c>
      <c r="E15" s="18">
        <v>0.76</v>
      </c>
      <c r="F15" s="80">
        <f t="shared" si="2"/>
        <v>91.139999999999986</v>
      </c>
      <c r="G15" s="80">
        <f t="shared" si="0"/>
        <v>1.5189999999999999</v>
      </c>
      <c r="H15" s="54">
        <f>F15*60</f>
        <v>5468.4</v>
      </c>
      <c r="I15" s="18">
        <f t="shared" si="3"/>
        <v>739.48</v>
      </c>
      <c r="J15" s="59">
        <f t="shared" si="4"/>
        <v>304043.03999999957</v>
      </c>
    </row>
    <row r="16" spans="1:10" x14ac:dyDescent="0.25">
      <c r="A16" t="s">
        <v>399</v>
      </c>
      <c r="B16" s="17">
        <f>B17*640</f>
        <v>838.40000000000009</v>
      </c>
      <c r="C16" s="477"/>
      <c r="D16" s="18">
        <v>0.75</v>
      </c>
      <c r="E16" s="18">
        <v>0.84</v>
      </c>
      <c r="F16" s="80">
        <f t="shared" si="2"/>
        <v>97.649999999999991</v>
      </c>
      <c r="G16" s="80">
        <f t="shared" si="0"/>
        <v>1.6274999999999999</v>
      </c>
      <c r="H16" s="54">
        <f t="shared" si="1"/>
        <v>5858.9999999999991</v>
      </c>
      <c r="I16" s="18">
        <f t="shared" si="3"/>
        <v>817.31999999999994</v>
      </c>
      <c r="J16" s="59">
        <f t="shared" si="4"/>
        <v>330646.80600000033</v>
      </c>
    </row>
    <row r="17" spans="1:10" x14ac:dyDescent="0.25">
      <c r="A17" s="33" t="s">
        <v>400</v>
      </c>
      <c r="B17" s="238">
        <v>1.31</v>
      </c>
      <c r="C17" s="477"/>
      <c r="D17" s="18">
        <v>0.8</v>
      </c>
      <c r="E17" s="18">
        <v>0.9</v>
      </c>
      <c r="F17" s="80">
        <f t="shared" si="2"/>
        <v>104.16</v>
      </c>
      <c r="G17" s="80">
        <f t="shared" si="0"/>
        <v>1.736</v>
      </c>
      <c r="H17" s="54">
        <f t="shared" si="1"/>
        <v>6249.5999999999995</v>
      </c>
      <c r="I17" s="18">
        <f t="shared" si="3"/>
        <v>875.7</v>
      </c>
      <c r="J17" s="59">
        <f t="shared" si="4"/>
        <v>351549.76499999949</v>
      </c>
    </row>
    <row r="18" spans="1:10" x14ac:dyDescent="0.25">
      <c r="A18"/>
      <c r="D18" s="18">
        <v>0.85</v>
      </c>
      <c r="E18" s="18">
        <v>0.95</v>
      </c>
      <c r="F18" s="80">
        <f t="shared" si="2"/>
        <v>110.66999999999999</v>
      </c>
      <c r="G18" s="80">
        <f t="shared" si="0"/>
        <v>1.8444999999999998</v>
      </c>
      <c r="H18" s="54">
        <f t="shared" si="1"/>
        <v>6640.1999999999989</v>
      </c>
      <c r="I18" s="18">
        <f t="shared" si="3"/>
        <v>924.34999999999991</v>
      </c>
      <c r="J18" s="59">
        <f t="shared" si="4"/>
        <v>366751.91700000031</v>
      </c>
    </row>
    <row r="19" spans="1:10" x14ac:dyDescent="0.25">
      <c r="D19" s="18">
        <v>0.9</v>
      </c>
      <c r="E19" s="18">
        <v>0.98</v>
      </c>
      <c r="F19" s="80">
        <f t="shared" si="2"/>
        <v>117.17999999999999</v>
      </c>
      <c r="G19" s="80">
        <f t="shared" si="0"/>
        <v>1.9530000000000001</v>
      </c>
      <c r="H19" s="54">
        <f t="shared" si="1"/>
        <v>7030.7999999999993</v>
      </c>
      <c r="I19" s="18">
        <f t="shared" si="3"/>
        <v>953.54</v>
      </c>
      <c r="J19" s="59">
        <f t="shared" si="4"/>
        <v>376253.26199999946</v>
      </c>
    </row>
    <row r="20" spans="1:10" x14ac:dyDescent="0.25">
      <c r="D20" s="18">
        <v>0.95</v>
      </c>
      <c r="E20" s="18">
        <v>1</v>
      </c>
      <c r="F20" s="80">
        <f t="shared" si="2"/>
        <v>123.68999999999998</v>
      </c>
      <c r="G20" s="80">
        <f t="shared" si="0"/>
        <v>2.0614999999999997</v>
      </c>
      <c r="H20" s="54">
        <f t="shared" si="1"/>
        <v>7421.3999999999987</v>
      </c>
      <c r="I20" s="18">
        <f t="shared" si="3"/>
        <v>973</v>
      </c>
      <c r="J20" s="59">
        <f t="shared" si="4"/>
        <v>378153.53100000037</v>
      </c>
    </row>
    <row r="21" spans="1:10" x14ac:dyDescent="0.25">
      <c r="D21" s="18">
        <v>1</v>
      </c>
      <c r="E21" s="18">
        <v>0.99</v>
      </c>
      <c r="F21" s="80">
        <f t="shared" si="2"/>
        <v>130.19999999999999</v>
      </c>
      <c r="G21" s="80">
        <f t="shared" si="0"/>
        <v>2.17</v>
      </c>
      <c r="H21" s="54">
        <f t="shared" si="1"/>
        <v>7811.9999999999991</v>
      </c>
      <c r="I21" s="18">
        <f t="shared" si="3"/>
        <v>963.27</v>
      </c>
      <c r="J21" s="59">
        <f t="shared" si="4"/>
        <v>370552.45500000118</v>
      </c>
    </row>
    <row r="22" spans="1:10" x14ac:dyDescent="0.25">
      <c r="D22" s="18">
        <v>1.05</v>
      </c>
      <c r="E22" s="18">
        <v>0.96</v>
      </c>
      <c r="F22" s="80">
        <f t="shared" si="2"/>
        <v>136.71</v>
      </c>
      <c r="G22" s="80">
        <f t="shared" si="0"/>
        <v>2.2785000000000002</v>
      </c>
      <c r="H22" s="54">
        <f t="shared" si="1"/>
        <v>8202.6</v>
      </c>
      <c r="I22" s="18">
        <f t="shared" si="3"/>
        <v>934.07999999999993</v>
      </c>
      <c r="J22" s="59">
        <f>(I22+I23)/2*(H23-H22)</f>
        <v>357250.57200000033</v>
      </c>
    </row>
    <row r="23" spans="1:10" x14ac:dyDescent="0.25">
      <c r="D23" s="18">
        <v>1.1000000000000001</v>
      </c>
      <c r="E23" s="18">
        <v>0.92</v>
      </c>
      <c r="F23" s="80">
        <f t="shared" si="2"/>
        <v>143.22</v>
      </c>
      <c r="G23" s="80">
        <f t="shared" si="0"/>
        <v>2.387</v>
      </c>
      <c r="H23" s="54">
        <f t="shared" si="1"/>
        <v>8593.2000000000007</v>
      </c>
      <c r="I23" s="18">
        <f t="shared" si="3"/>
        <v>895.16000000000008</v>
      </c>
      <c r="J23" s="59">
        <f t="shared" si="4"/>
        <v>338247.88199999719</v>
      </c>
    </row>
    <row r="24" spans="1:10" x14ac:dyDescent="0.25">
      <c r="D24" s="18">
        <v>1.1499999999999999</v>
      </c>
      <c r="E24" s="18">
        <v>0.86</v>
      </c>
      <c r="F24" s="80">
        <f t="shared" si="2"/>
        <v>149.72999999999996</v>
      </c>
      <c r="G24" s="80">
        <f t="shared" si="0"/>
        <v>2.4954999999999998</v>
      </c>
      <c r="H24" s="54">
        <f t="shared" si="1"/>
        <v>8983.7999999999975</v>
      </c>
      <c r="I24" s="18">
        <f t="shared" si="3"/>
        <v>836.78</v>
      </c>
      <c r="J24" s="59">
        <f t="shared" si="4"/>
        <v>315444.65400000178</v>
      </c>
    </row>
    <row r="25" spans="1:10" x14ac:dyDescent="0.25">
      <c r="D25" s="18">
        <v>1.2</v>
      </c>
      <c r="E25" s="18">
        <v>0.8</v>
      </c>
      <c r="F25" s="80">
        <f t="shared" si="2"/>
        <v>156.23999999999998</v>
      </c>
      <c r="G25" s="80">
        <f t="shared" si="0"/>
        <v>2.6039999999999996</v>
      </c>
      <c r="H25" s="54">
        <f t="shared" si="1"/>
        <v>9374.4</v>
      </c>
      <c r="I25" s="18">
        <f t="shared" si="3"/>
        <v>778.40000000000009</v>
      </c>
      <c r="J25" s="59">
        <f t="shared" si="4"/>
        <v>292641.42600000027</v>
      </c>
    </row>
    <row r="26" spans="1:10" x14ac:dyDescent="0.25">
      <c r="D26" s="18">
        <v>1.25</v>
      </c>
      <c r="E26" s="18">
        <v>0.74</v>
      </c>
      <c r="F26" s="80">
        <f t="shared" si="2"/>
        <v>162.75</v>
      </c>
      <c r="G26" s="80">
        <f t="shared" si="0"/>
        <v>2.7124999999999999</v>
      </c>
      <c r="H26" s="54">
        <f t="shared" si="1"/>
        <v>9765</v>
      </c>
      <c r="I26" s="18">
        <f t="shared" si="3"/>
        <v>720.02</v>
      </c>
      <c r="J26" s="59">
        <f t="shared" si="4"/>
        <v>269838.19799999899</v>
      </c>
    </row>
    <row r="27" spans="1:10" x14ac:dyDescent="0.25">
      <c r="D27" s="18">
        <v>1.3</v>
      </c>
      <c r="E27" s="18">
        <v>0.68</v>
      </c>
      <c r="F27" s="80">
        <f t="shared" si="2"/>
        <v>169.26</v>
      </c>
      <c r="G27" s="80">
        <f t="shared" si="0"/>
        <v>2.8210000000000002</v>
      </c>
      <c r="H27" s="54">
        <f t="shared" si="1"/>
        <v>10155.599999999999</v>
      </c>
      <c r="I27" s="18">
        <f t="shared" si="3"/>
        <v>661.6400000000001</v>
      </c>
      <c r="J27" s="59">
        <f t="shared" si="4"/>
        <v>247034.9700000014</v>
      </c>
    </row>
    <row r="28" spans="1:10" x14ac:dyDescent="0.25">
      <c r="D28" s="18">
        <v>1.35</v>
      </c>
      <c r="E28" s="18">
        <v>0.62</v>
      </c>
      <c r="F28" s="80">
        <f t="shared" si="2"/>
        <v>175.77</v>
      </c>
      <c r="G28" s="80">
        <f t="shared" si="0"/>
        <v>2.9295</v>
      </c>
      <c r="H28" s="54">
        <f t="shared" si="1"/>
        <v>10546.2</v>
      </c>
      <c r="I28" s="18">
        <f t="shared" si="3"/>
        <v>603.26</v>
      </c>
      <c r="J28" s="59">
        <f t="shared" si="4"/>
        <v>224231.74199999913</v>
      </c>
    </row>
    <row r="29" spans="1:10" x14ac:dyDescent="0.25">
      <c r="D29" s="18">
        <v>1.4</v>
      </c>
      <c r="E29" s="18">
        <v>0.56000000000000005</v>
      </c>
      <c r="F29" s="80">
        <f t="shared" si="2"/>
        <v>182.27999999999997</v>
      </c>
      <c r="G29" s="80">
        <f t="shared" si="0"/>
        <v>3.0379999999999998</v>
      </c>
      <c r="H29" s="54">
        <f t="shared" si="1"/>
        <v>10936.8</v>
      </c>
      <c r="I29" s="18">
        <f t="shared" si="3"/>
        <v>544.88</v>
      </c>
      <c r="J29" s="59">
        <f t="shared" si="4"/>
        <v>203328.78299999927</v>
      </c>
    </row>
    <row r="30" spans="1:10" x14ac:dyDescent="0.25">
      <c r="D30" s="18">
        <v>1.45</v>
      </c>
      <c r="E30" s="18">
        <v>0.51</v>
      </c>
      <c r="F30" s="80">
        <f t="shared" si="2"/>
        <v>188.78999999999996</v>
      </c>
      <c r="G30" s="80">
        <f t="shared" si="0"/>
        <v>3.1464999999999996</v>
      </c>
      <c r="H30" s="54">
        <f t="shared" si="1"/>
        <v>11327.399999999998</v>
      </c>
      <c r="I30" s="18">
        <f t="shared" si="3"/>
        <v>496.23</v>
      </c>
      <c r="J30" s="59">
        <f t="shared" si="4"/>
        <v>186226.36200000017</v>
      </c>
    </row>
    <row r="31" spans="1:10" x14ac:dyDescent="0.25">
      <c r="D31" s="18">
        <v>1.5</v>
      </c>
      <c r="E31" s="18">
        <v>0.47</v>
      </c>
      <c r="F31" s="80">
        <f t="shared" si="2"/>
        <v>195.29999999999998</v>
      </c>
      <c r="G31" s="80">
        <f t="shared" si="0"/>
        <v>3.2549999999999999</v>
      </c>
      <c r="H31" s="54">
        <f t="shared" si="1"/>
        <v>11717.999999999998</v>
      </c>
      <c r="I31" s="18">
        <f t="shared" si="3"/>
        <v>457.31</v>
      </c>
      <c r="J31" s="59">
        <f t="shared" si="4"/>
        <v>171024.21000000095</v>
      </c>
    </row>
    <row r="32" spans="1:10" x14ac:dyDescent="0.25">
      <c r="D32" s="18">
        <v>1.55</v>
      </c>
      <c r="E32" s="18">
        <v>0.43</v>
      </c>
      <c r="F32" s="80">
        <f t="shared" si="2"/>
        <v>201.81</v>
      </c>
      <c r="G32" s="80">
        <f t="shared" si="0"/>
        <v>3.3635000000000002</v>
      </c>
      <c r="H32" s="54">
        <f t="shared" si="1"/>
        <v>12108.6</v>
      </c>
      <c r="I32" s="18">
        <f t="shared" si="3"/>
        <v>418.39</v>
      </c>
      <c r="J32" s="59">
        <f t="shared" si="4"/>
        <v>155822.05799999941</v>
      </c>
    </row>
    <row r="33" spans="1:10" x14ac:dyDescent="0.25">
      <c r="D33" s="18">
        <v>1.6</v>
      </c>
      <c r="E33" s="18">
        <v>0.39</v>
      </c>
      <c r="F33" s="80">
        <f t="shared" si="2"/>
        <v>208.32</v>
      </c>
      <c r="G33" s="80">
        <f t="shared" si="0"/>
        <v>3.472</v>
      </c>
      <c r="H33" s="54">
        <f t="shared" si="1"/>
        <v>12499.199999999999</v>
      </c>
      <c r="I33" s="18">
        <f t="shared" si="3"/>
        <v>379.47</v>
      </c>
      <c r="J33" s="59">
        <f t="shared" si="4"/>
        <v>142520.17499999946</v>
      </c>
    </row>
    <row r="34" spans="1:10" x14ac:dyDescent="0.25">
      <c r="D34" s="18">
        <v>1.65</v>
      </c>
      <c r="E34" s="18">
        <v>0.36</v>
      </c>
      <c r="F34" s="80">
        <f t="shared" si="2"/>
        <v>214.82999999999996</v>
      </c>
      <c r="G34" s="80">
        <f t="shared" si="0"/>
        <v>3.5804999999999998</v>
      </c>
      <c r="H34" s="54">
        <f t="shared" si="1"/>
        <v>12889.799999999997</v>
      </c>
      <c r="I34" s="18">
        <f t="shared" si="3"/>
        <v>350.28</v>
      </c>
      <c r="J34" s="59">
        <f t="shared" si="4"/>
        <v>131118.56100000013</v>
      </c>
    </row>
    <row r="35" spans="1:10" x14ac:dyDescent="0.25">
      <c r="D35" s="18">
        <v>1.7</v>
      </c>
      <c r="E35" s="18">
        <v>0.33</v>
      </c>
      <c r="F35" s="80">
        <f t="shared" si="2"/>
        <v>221.33999999999997</v>
      </c>
      <c r="G35" s="80">
        <f t="shared" si="0"/>
        <v>3.6889999999999996</v>
      </c>
      <c r="H35" s="54">
        <f t="shared" si="1"/>
        <v>13280.399999999998</v>
      </c>
      <c r="I35" s="18">
        <f t="shared" si="3"/>
        <v>321.09000000000003</v>
      </c>
      <c r="J35" s="59">
        <f t="shared" si="4"/>
        <v>119716.94700000012</v>
      </c>
    </row>
    <row r="36" spans="1:10" x14ac:dyDescent="0.25">
      <c r="D36" s="18">
        <v>1.75</v>
      </c>
      <c r="E36" s="18">
        <v>0.3</v>
      </c>
      <c r="F36" s="80">
        <f t="shared" si="2"/>
        <v>227.84999999999997</v>
      </c>
      <c r="G36" s="80">
        <f t="shared" si="0"/>
        <v>3.7974999999999999</v>
      </c>
      <c r="H36" s="54">
        <f t="shared" si="1"/>
        <v>13670.999999999998</v>
      </c>
      <c r="I36" s="18">
        <f t="shared" si="3"/>
        <v>291.89999999999998</v>
      </c>
      <c r="J36" s="59">
        <f t="shared" si="4"/>
        <v>110215.60200000009</v>
      </c>
    </row>
    <row r="37" spans="1:10" x14ac:dyDescent="0.25">
      <c r="D37" s="18">
        <v>1.8</v>
      </c>
      <c r="E37" s="18">
        <v>0.28000000000000003</v>
      </c>
      <c r="F37" s="80">
        <f t="shared" si="2"/>
        <v>234.35999999999999</v>
      </c>
      <c r="G37" s="80">
        <f t="shared" si="0"/>
        <v>3.9060000000000001</v>
      </c>
      <c r="H37" s="54">
        <f t="shared" si="1"/>
        <v>14061.599999999999</v>
      </c>
      <c r="I37" s="18">
        <f t="shared" si="3"/>
        <v>272.44</v>
      </c>
      <c r="J37" s="59">
        <f t="shared" si="4"/>
        <v>102614.52600000059</v>
      </c>
    </row>
    <row r="38" spans="1:10" x14ac:dyDescent="0.25">
      <c r="D38" s="18">
        <v>1.85</v>
      </c>
      <c r="E38" s="18">
        <v>0.26</v>
      </c>
      <c r="F38" s="80">
        <f t="shared" si="2"/>
        <v>240.87</v>
      </c>
      <c r="G38" s="80">
        <f t="shared" si="0"/>
        <v>4.0145</v>
      </c>
      <c r="H38" s="54">
        <f t="shared" si="1"/>
        <v>14452.2</v>
      </c>
      <c r="I38" s="18">
        <f t="shared" si="3"/>
        <v>252.98000000000002</v>
      </c>
      <c r="J38" s="59">
        <f t="shared" si="4"/>
        <v>95013.449999999197</v>
      </c>
    </row>
    <row r="39" spans="1:10" x14ac:dyDescent="0.25">
      <c r="A39"/>
      <c r="B39"/>
      <c r="C39"/>
      <c r="D39" s="18">
        <v>1.9</v>
      </c>
      <c r="E39" s="18">
        <v>0.24</v>
      </c>
      <c r="F39" s="80">
        <f t="shared" si="2"/>
        <v>247.37999999999997</v>
      </c>
      <c r="G39" s="80">
        <f t="shared" si="0"/>
        <v>4.1229999999999993</v>
      </c>
      <c r="H39" s="54">
        <f t="shared" si="1"/>
        <v>14842.799999999997</v>
      </c>
      <c r="I39" s="18">
        <f t="shared" si="3"/>
        <v>233.51999999999998</v>
      </c>
      <c r="J39" s="59">
        <f t="shared" si="4"/>
        <v>87412.374000000083</v>
      </c>
    </row>
    <row r="40" spans="1:10" x14ac:dyDescent="0.25">
      <c r="A40"/>
      <c r="B40"/>
      <c r="C40"/>
      <c r="D40" s="18">
        <v>1.95</v>
      </c>
      <c r="E40" s="18">
        <v>0.22</v>
      </c>
      <c r="F40" s="80">
        <f t="shared" si="2"/>
        <v>253.88999999999996</v>
      </c>
      <c r="G40" s="80">
        <f t="shared" si="0"/>
        <v>4.2314999999999996</v>
      </c>
      <c r="H40" s="54">
        <f t="shared" si="1"/>
        <v>15233.399999999998</v>
      </c>
      <c r="I40" s="18">
        <f t="shared" si="3"/>
        <v>214.06</v>
      </c>
      <c r="J40" s="59">
        <f t="shared" si="4"/>
        <v>79811.298000000083</v>
      </c>
    </row>
    <row r="41" spans="1:10" x14ac:dyDescent="0.25">
      <c r="A41"/>
      <c r="B41"/>
      <c r="C41"/>
      <c r="D41" s="18">
        <v>2</v>
      </c>
      <c r="E41" s="18">
        <v>0.2</v>
      </c>
      <c r="F41" s="80">
        <f t="shared" si="2"/>
        <v>260.39999999999998</v>
      </c>
      <c r="G41" s="80">
        <f t="shared" si="0"/>
        <v>4.34</v>
      </c>
      <c r="H41" s="54">
        <f t="shared" si="1"/>
        <v>15623.999999999998</v>
      </c>
      <c r="I41" s="18">
        <f t="shared" si="3"/>
        <v>194.60000000000002</v>
      </c>
      <c r="J41" s="59">
        <f t="shared" si="4"/>
        <v>74110.491000000067</v>
      </c>
    </row>
    <row r="42" spans="1:10" x14ac:dyDescent="0.25">
      <c r="A42"/>
      <c r="B42"/>
      <c r="C42"/>
      <c r="D42" s="18">
        <v>2.0499999999999998</v>
      </c>
      <c r="E42" s="18">
        <v>0.19</v>
      </c>
      <c r="F42" s="80">
        <f t="shared" si="2"/>
        <v>266.90999999999997</v>
      </c>
      <c r="G42" s="80">
        <f t="shared" si="0"/>
        <v>4.4484999999999992</v>
      </c>
      <c r="H42" s="54">
        <f t="shared" si="1"/>
        <v>16014.599999999999</v>
      </c>
      <c r="I42" s="18">
        <f t="shared" si="3"/>
        <v>184.87</v>
      </c>
      <c r="J42" s="59">
        <f t="shared" si="4"/>
        <v>68409.684000000387</v>
      </c>
    </row>
    <row r="43" spans="1:10" x14ac:dyDescent="0.25">
      <c r="A43"/>
      <c r="B43"/>
      <c r="C43"/>
      <c r="D43" s="18">
        <v>2.1</v>
      </c>
      <c r="E43" s="18">
        <v>0.17</v>
      </c>
      <c r="F43" s="80">
        <f t="shared" si="2"/>
        <v>273.42</v>
      </c>
      <c r="G43" s="80">
        <f t="shared" si="0"/>
        <v>4.5570000000000004</v>
      </c>
      <c r="H43" s="54">
        <f t="shared" si="1"/>
        <v>16405.2</v>
      </c>
      <c r="I43" s="18">
        <f t="shared" si="3"/>
        <v>165.41000000000003</v>
      </c>
      <c r="J43" s="59">
        <f t="shared" si="4"/>
        <v>62708.876999999186</v>
      </c>
    </row>
    <row r="44" spans="1:10" x14ac:dyDescent="0.25">
      <c r="A44" s="55" t="s">
        <v>458</v>
      </c>
      <c r="B44" s="55"/>
      <c r="C44" s="55"/>
      <c r="D44" s="18">
        <v>2.15</v>
      </c>
      <c r="E44" s="18">
        <v>0.16</v>
      </c>
      <c r="F44" s="80">
        <f t="shared" si="2"/>
        <v>279.92999999999995</v>
      </c>
      <c r="G44" s="80">
        <f t="shared" si="0"/>
        <v>4.6654999999999998</v>
      </c>
      <c r="H44" s="54">
        <f t="shared" si="1"/>
        <v>16795.799999999996</v>
      </c>
      <c r="I44" s="18">
        <f t="shared" si="3"/>
        <v>155.68</v>
      </c>
      <c r="J44" s="59">
        <f t="shared" si="4"/>
        <v>58908.33900000088</v>
      </c>
    </row>
    <row r="45" spans="1:10" x14ac:dyDescent="0.25">
      <c r="A45" s="264">
        <f>0.00169*($B$13*$B$15)/$B$17</f>
        <v>2.7238800763358775</v>
      </c>
      <c r="B45" s="270" t="s">
        <v>201</v>
      </c>
      <c r="C45" s="265"/>
      <c r="D45" s="18">
        <v>2.2000000000000002</v>
      </c>
      <c r="E45" s="18">
        <v>0.15</v>
      </c>
      <c r="F45" s="80">
        <f t="shared" si="2"/>
        <v>286.44</v>
      </c>
      <c r="G45" s="80">
        <f t="shared" si="0"/>
        <v>4.774</v>
      </c>
      <c r="H45" s="54">
        <f t="shared" si="1"/>
        <v>17186.400000000001</v>
      </c>
      <c r="I45" s="18">
        <f t="shared" si="3"/>
        <v>145.94999999999999</v>
      </c>
      <c r="J45" s="59">
        <f t="shared" si="4"/>
        <v>55107.800999999788</v>
      </c>
    </row>
    <row r="46" spans="1:10" x14ac:dyDescent="0.25">
      <c r="A46" s="261" t="s">
        <v>459</v>
      </c>
      <c r="B46" s="55"/>
      <c r="C46" s="55"/>
      <c r="D46" s="18">
        <v>2.25</v>
      </c>
      <c r="E46" s="18">
        <v>0.14000000000000001</v>
      </c>
      <c r="F46" s="80">
        <f t="shared" si="2"/>
        <v>292.95</v>
      </c>
      <c r="G46" s="80">
        <f t="shared" si="0"/>
        <v>4.8825000000000003</v>
      </c>
      <c r="H46" s="54">
        <f t="shared" si="1"/>
        <v>17577</v>
      </c>
      <c r="I46" s="18">
        <f t="shared" si="3"/>
        <v>136.22</v>
      </c>
      <c r="J46" s="59">
        <f t="shared" si="4"/>
        <v>51307.262999999337</v>
      </c>
    </row>
    <row r="47" spans="1:10" x14ac:dyDescent="0.25">
      <c r="A47" s="266">
        <f>+D47/12*B16*43560</f>
        <v>6999801.5999999996</v>
      </c>
      <c r="B47" s="267" t="s">
        <v>266</v>
      </c>
      <c r="C47" s="268"/>
      <c r="D47" s="18">
        <v>2.2999999999999998</v>
      </c>
      <c r="E47" s="18">
        <v>0.13</v>
      </c>
      <c r="F47" s="80">
        <f t="shared" si="2"/>
        <v>299.45999999999992</v>
      </c>
      <c r="G47" s="80">
        <f t="shared" si="0"/>
        <v>4.9909999999999997</v>
      </c>
      <c r="H47" s="54">
        <f t="shared" si="1"/>
        <v>17967.599999999995</v>
      </c>
      <c r="I47" s="18">
        <f t="shared" si="3"/>
        <v>126.49000000000001</v>
      </c>
      <c r="J47" s="59">
        <f t="shared" si="4"/>
        <v>47506.725000000268</v>
      </c>
    </row>
    <row r="48" spans="1:10" x14ac:dyDescent="0.25">
      <c r="A48"/>
      <c r="B48" s="226"/>
      <c r="C48" s="226"/>
      <c r="D48" s="18">
        <v>2.35</v>
      </c>
      <c r="E48" s="18">
        <v>0.12</v>
      </c>
      <c r="F48" s="80">
        <f t="shared" si="2"/>
        <v>305.96999999999997</v>
      </c>
      <c r="G48" s="80">
        <f t="shared" si="0"/>
        <v>5.0994999999999999</v>
      </c>
      <c r="H48" s="54">
        <f t="shared" si="1"/>
        <v>18358.199999999997</v>
      </c>
      <c r="I48" s="18">
        <f t="shared" si="3"/>
        <v>116.75999999999999</v>
      </c>
      <c r="J48" s="59">
        <f>SUM(J6:J47)</f>
        <v>7870914.197999998</v>
      </c>
    </row>
    <row r="49" spans="1:10" ht="15.75" thickBot="1" x14ac:dyDescent="0.3">
      <c r="A49" s="14" t="s">
        <v>414</v>
      </c>
      <c r="B49"/>
      <c r="C49" s="17"/>
      <c r="D49" s="18">
        <v>2.4</v>
      </c>
      <c r="E49" s="18">
        <v>0.11</v>
      </c>
      <c r="F49" s="81"/>
      <c r="G49" t="s">
        <v>269</v>
      </c>
      <c r="H49" s="81"/>
      <c r="I49" s="10" t="s">
        <v>182</v>
      </c>
      <c r="J49" s="91">
        <f>J48</f>
        <v>7870914.197999998</v>
      </c>
    </row>
    <row r="50" spans="1:10" ht="15.75" thickTop="1" x14ac:dyDescent="0.25">
      <c r="A50" t="s">
        <v>415</v>
      </c>
      <c r="B50"/>
      <c r="C50" s="17"/>
      <c r="D50"/>
      <c r="E50"/>
      <c r="F50" s="81"/>
      <c r="G50" s="81"/>
      <c r="H50" s="81">
        <f>H48-H6</f>
        <v>16405.199999999997</v>
      </c>
      <c r="I50" s="19">
        <f>I48</f>
        <v>116.75999999999999</v>
      </c>
      <c r="J50" s="102">
        <f>H50*I50</f>
        <v>1915471.1519999995</v>
      </c>
    </row>
    <row r="51" spans="1:10" ht="15.75" thickBot="1" x14ac:dyDescent="0.3">
      <c r="A51" s="14" t="s">
        <v>416</v>
      </c>
      <c r="B51"/>
      <c r="C51" s="17"/>
      <c r="D51"/>
      <c r="E51"/>
      <c r="F51" s="81"/>
      <c r="G51" s="81"/>
      <c r="H51" s="81"/>
      <c r="I51" s="19"/>
      <c r="J51" s="103">
        <f>J48-J50</f>
        <v>5955443.0459999982</v>
      </c>
    </row>
    <row r="52" spans="1:10" ht="15.75" thickTop="1" x14ac:dyDescent="0.25"/>
  </sheetData>
  <sheetProtection algorithmName="SHA-512" hashValue="wcWmS5sR4SdsuHayEaaWkbZLL8LJ5YdJZso/TC8j6aULMfSAy7bXRSps7/Xsis4xNvnqaVgy6NeDFmwY2aBNGw==" saltValue="S53ZQrA7lheKhoSIf/OG3w==" spinCount="100000" sheet="1" selectLockedCells="1"/>
  <mergeCells count="2">
    <mergeCell ref="D1:F1"/>
    <mergeCell ref="G1:I1"/>
  </mergeCells>
  <pageMargins left="0.7" right="0.7" top="0.75" bottom="0.75" header="0.3" footer="0.3"/>
  <pageSetup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/>
  <dimension ref="A1:L39"/>
  <sheetViews>
    <sheetView zoomScaleNormal="100" workbookViewId="0">
      <selection activeCell="L28" sqref="L28"/>
    </sheetView>
  </sheetViews>
  <sheetFormatPr defaultColWidth="9.28515625" defaultRowHeight="15" x14ac:dyDescent="0.25"/>
  <cols>
    <col min="1" max="1" width="15" style="13" customWidth="1"/>
    <col min="2" max="2" width="9.7109375" style="58" customWidth="1"/>
    <col min="3" max="3" width="11.7109375" style="58" customWidth="1"/>
    <col min="4" max="5" width="9.7109375" style="58" customWidth="1"/>
    <col min="6" max="6" width="10.7109375" style="58" customWidth="1"/>
    <col min="7" max="7" width="9.7109375" style="58" customWidth="1"/>
    <col min="8" max="8" width="12.42578125" style="64" customWidth="1"/>
    <col min="9" max="12" width="9.28515625" style="52"/>
    <col min="13" max="14" width="9.140625" style="13" customWidth="1"/>
    <col min="15" max="16384" width="9.28515625" style="13"/>
  </cols>
  <sheetData>
    <row r="1" spans="1:12" ht="19.5" thickBot="1" x14ac:dyDescent="0.35">
      <c r="A1"/>
      <c r="B1" s="18"/>
      <c r="C1" s="18"/>
      <c r="D1" s="250" t="s">
        <v>590</v>
      </c>
      <c r="E1" s="148"/>
      <c r="F1" s="317"/>
      <c r="G1" s="317"/>
      <c r="H1" s="318"/>
      <c r="I1" s="319"/>
      <c r="J1" s="319"/>
      <c r="K1" s="66"/>
      <c r="L1" s="319"/>
    </row>
    <row r="2" spans="1:12" x14ac:dyDescent="0.25">
      <c r="A2"/>
      <c r="B2" s="18"/>
      <c r="C2" s="18"/>
      <c r="D2" s="18"/>
      <c r="E2" s="18"/>
      <c r="F2" s="18"/>
      <c r="G2" s="17"/>
      <c r="H2" s="59"/>
      <c r="I2" s="59"/>
      <c r="J2" s="285"/>
      <c r="K2" s="285"/>
      <c r="L2" s="319"/>
    </row>
    <row r="3" spans="1:12" x14ac:dyDescent="0.25">
      <c r="A3" s="1" t="s">
        <v>0</v>
      </c>
      <c r="B3" s="310"/>
      <c r="C3" s="118"/>
      <c r="D3" s="17"/>
      <c r="E3" s="17"/>
      <c r="F3" s="18"/>
      <c r="G3" s="17"/>
      <c r="H3" s="194" t="s">
        <v>404</v>
      </c>
      <c r="I3" s="60">
        <v>1</v>
      </c>
      <c r="J3" s="60">
        <v>2</v>
      </c>
      <c r="K3" s="60">
        <v>3</v>
      </c>
      <c r="L3" s="60">
        <v>4</v>
      </c>
    </row>
    <row r="4" spans="1:12" ht="15" customHeight="1" x14ac:dyDescent="0.25">
      <c r="A4" s="173" t="s">
        <v>4</v>
      </c>
      <c r="B4" s="313" t="s">
        <v>108</v>
      </c>
      <c r="C4" s="314"/>
      <c r="D4" s="178" t="s">
        <v>380</v>
      </c>
      <c r="E4" s="178" t="s">
        <v>381</v>
      </c>
      <c r="F4" s="178" t="s">
        <v>468</v>
      </c>
      <c r="G4"/>
      <c r="H4" s="36" t="s">
        <v>224</v>
      </c>
      <c r="I4" s="59" t="s">
        <v>210</v>
      </c>
      <c r="J4" s="59" t="s">
        <v>211</v>
      </c>
      <c r="K4" s="59" t="s">
        <v>212</v>
      </c>
      <c r="L4" s="59" t="s">
        <v>213</v>
      </c>
    </row>
    <row r="5" spans="1:12" x14ac:dyDescent="0.25">
      <c r="A5" s="1" t="s">
        <v>173</v>
      </c>
      <c r="B5" s="310" t="s">
        <v>108</v>
      </c>
      <c r="C5" s="225"/>
      <c r="D5" s="119">
        <v>33.719700000000003</v>
      </c>
      <c r="E5" s="120">
        <v>87.870500000000007</v>
      </c>
      <c r="F5" s="119">
        <v>324</v>
      </c>
      <c r="G5" s="13"/>
      <c r="H5" s="6" t="s">
        <v>14</v>
      </c>
      <c r="I5" s="194" t="s">
        <v>30</v>
      </c>
      <c r="J5" s="194" t="s">
        <v>30</v>
      </c>
      <c r="K5" s="194" t="s">
        <v>30</v>
      </c>
      <c r="L5" s="194" t="s">
        <v>30</v>
      </c>
    </row>
    <row r="6" spans="1:12" x14ac:dyDescent="0.25">
      <c r="A6" s="1" t="s">
        <v>118</v>
      </c>
      <c r="B6" s="117" t="s">
        <v>247</v>
      </c>
      <c r="C6" s="225"/>
      <c r="H6" s="6" t="s">
        <v>19</v>
      </c>
      <c r="I6" s="60" t="s">
        <v>195</v>
      </c>
      <c r="J6" s="60" t="s">
        <v>195</v>
      </c>
      <c r="K6" s="60" t="s">
        <v>195</v>
      </c>
      <c r="L6" s="60" t="s">
        <v>195</v>
      </c>
    </row>
    <row r="7" spans="1:12" ht="15" customHeight="1" x14ac:dyDescent="0.35">
      <c r="A7" s="175" t="s">
        <v>164</v>
      </c>
      <c r="B7" s="309"/>
      <c r="C7" s="227"/>
      <c r="H7" s="17"/>
      <c r="I7" s="17" t="s">
        <v>214</v>
      </c>
      <c r="J7" s="17" t="s">
        <v>214</v>
      </c>
      <c r="K7" s="17" t="s">
        <v>214</v>
      </c>
      <c r="L7" s="17" t="s">
        <v>214</v>
      </c>
    </row>
    <row r="8" spans="1:12" x14ac:dyDescent="0.25">
      <c r="A8" s="1" t="s">
        <v>10</v>
      </c>
      <c r="B8" s="310" t="s">
        <v>584</v>
      </c>
      <c r="C8" s="227"/>
      <c r="D8" s="227"/>
      <c r="G8" s="13"/>
      <c r="H8" s="72" t="s">
        <v>198</v>
      </c>
      <c r="I8" s="73" t="s">
        <v>197</v>
      </c>
      <c r="J8" s="73" t="s">
        <v>197</v>
      </c>
      <c r="K8" s="73" t="s">
        <v>197</v>
      </c>
      <c r="L8" s="73" t="s">
        <v>197</v>
      </c>
    </row>
    <row r="9" spans="1:12" x14ac:dyDescent="0.25">
      <c r="A9" t="s">
        <v>395</v>
      </c>
      <c r="B9" s="311">
        <v>42820</v>
      </c>
      <c r="C9" s="227"/>
      <c r="D9" s="13"/>
      <c r="E9" s="13"/>
      <c r="G9" s="13"/>
      <c r="H9" s="17">
        <v>2</v>
      </c>
      <c r="I9" s="59">
        <f>IF(ISNUMBER($B$13),250*$B$13^0.656,"")</f>
        <v>6090.9754321510318</v>
      </c>
      <c r="J9" s="59">
        <f>IF(ISNUMBER($B$13),166*$B$13^0.66,"")</f>
        <v>4123.9244511580446</v>
      </c>
      <c r="K9" s="59">
        <f>IF(ISNUMBER($B$13),322*$B$13^0.576,"")</f>
        <v>5314.803870715351</v>
      </c>
      <c r="L9" s="59">
        <f>IF(ISNUMBER($B$13),204*$B$13^0.59,"")</f>
        <v>3604.5972354686073</v>
      </c>
    </row>
    <row r="10" spans="1:12" x14ac:dyDescent="0.25">
      <c r="A10" s="33" t="s">
        <v>122</v>
      </c>
      <c r="B10" s="316" t="s">
        <v>2</v>
      </c>
      <c r="C10" s="227"/>
      <c r="D10" s="13"/>
      <c r="G10" s="13"/>
      <c r="H10" s="17">
        <v>5</v>
      </c>
      <c r="I10" s="59">
        <f>IF(ISNUMBER($B$13),466*$B$13^0.636,"")</f>
        <v>10300.395222678366</v>
      </c>
      <c r="J10" s="59">
        <f>IF(ISNUMBER($B$13),291*$B$13^0.652,"")</f>
        <v>6953.189324211955</v>
      </c>
      <c r="K10" s="59">
        <f>IF(ISNUMBER($B$13),562*$B$13^0.593,"")</f>
        <v>10076.384321499905</v>
      </c>
      <c r="L10" s="59">
        <f>IF(ISNUMBER($B$13),367*$B$13^0.59,"")</f>
        <v>6484.7411049851908</v>
      </c>
    </row>
    <row r="11" spans="1:12" x14ac:dyDescent="0.25">
      <c r="A11" t="s">
        <v>495</v>
      </c>
      <c r="B11" s="18" t="s">
        <v>497</v>
      </c>
      <c r="G11" s="13"/>
      <c r="H11" s="17">
        <v>10</v>
      </c>
      <c r="I11" s="59">
        <f>IF(ISNUMBER($B$13),650*$B$13^0.623,"")</f>
        <v>13486.525104206792</v>
      </c>
      <c r="J11" s="59">
        <f>IF(ISNUMBER($B$13),393*$B$13^0.648,"")</f>
        <v>9209.3259126740122</v>
      </c>
      <c r="K11" s="59">
        <f>IF(ISNUMBER($B$13),802*$B$13^0.592,"")</f>
        <v>14309.644114521143</v>
      </c>
      <c r="L11" s="59">
        <f>IF(ISNUMBER($B$13),499*$B$13^0.588,"")</f>
        <v>8731.7086612399053</v>
      </c>
    </row>
    <row r="12" spans="1:12" x14ac:dyDescent="0.25">
      <c r="A12" s="33" t="s">
        <v>496</v>
      </c>
      <c r="B12" s="118" t="s">
        <v>403</v>
      </c>
      <c r="G12" s="64"/>
      <c r="H12" s="17">
        <v>25</v>
      </c>
      <c r="I12" s="59">
        <f>IF(ISNUMBER($B$13),918*$B$13^0.61,"")</f>
        <v>17879.201795092918</v>
      </c>
      <c r="J12" s="59">
        <f>IF(ISNUMBER($B$13),532*$B$13^0.645,"")</f>
        <v>12285.846771949211</v>
      </c>
      <c r="K12" s="59">
        <f>IF(ISNUMBER($B$13),1206*$B$13^0.586,"")</f>
        <v>20898.6442045726</v>
      </c>
      <c r="L12" s="59">
        <f>IF(ISNUMBER($B$13),692*$B$13^0.584,"")</f>
        <v>11875.420926108023</v>
      </c>
    </row>
    <row r="13" spans="1:12" ht="15" customHeight="1" x14ac:dyDescent="0.25">
      <c r="A13" s="33" t="s">
        <v>226</v>
      </c>
      <c r="B13" s="118">
        <v>130</v>
      </c>
      <c r="E13" s="64"/>
      <c r="G13" s="64"/>
      <c r="H13" s="17">
        <v>50</v>
      </c>
      <c r="I13" s="59">
        <f>IF(ISNUMBER($B$13),1137*$B$13^0.601,"")</f>
        <v>21195.341553555761</v>
      </c>
      <c r="J13" s="59">
        <f>IF(ISNUMBER($B$13),642*$B$13^0.643,"")</f>
        <v>14682.520084737376</v>
      </c>
      <c r="K13" s="59">
        <f>IF(ISNUMBER($B$13),1559*$B$13^0.583,"")</f>
        <v>26624.109426261184</v>
      </c>
      <c r="L13" s="59">
        <f>IF(ISNUMBER($B$13),857*$B$13^0.58,"")</f>
        <v>14423.41057497865</v>
      </c>
    </row>
    <row r="14" spans="1:12" x14ac:dyDescent="0.25">
      <c r="A14" s="338" t="s">
        <v>238</v>
      </c>
      <c r="B14" s="118" t="s">
        <v>249</v>
      </c>
      <c r="D14" s="64"/>
      <c r="E14" s="64"/>
      <c r="G14" s="64"/>
      <c r="H14" s="17">
        <v>100</v>
      </c>
      <c r="I14" s="59">
        <f>IF(ISNUMBER($B$13),1368*$B$13^0.593,"")</f>
        <v>24527.568953401904</v>
      </c>
      <c r="J14" s="59">
        <f>IF(ISNUMBER($B$13),763*$B$13^0.641,"")</f>
        <v>17280.735654089516</v>
      </c>
      <c r="K14" s="59">
        <f>IF(ISNUMBER($B$13),1930*$B$13^0.584,"")</f>
        <v>33120.754895070066</v>
      </c>
      <c r="L14" s="59">
        <f>IF(ISNUMBER($B$13),1036*$B$13^0.578,"")</f>
        <v>17267.084449137699</v>
      </c>
    </row>
    <row r="15" spans="1:12" x14ac:dyDescent="0.25">
      <c r="B15" s="64"/>
      <c r="C15" s="64"/>
      <c r="D15" s="64"/>
      <c r="E15" s="64"/>
      <c r="G15" s="64"/>
      <c r="H15" s="17">
        <v>200</v>
      </c>
      <c r="I15" s="59">
        <f>IF(ISNUMBER($B$13),1609*$B$13^0.587,"")</f>
        <v>28018.236183034252</v>
      </c>
      <c r="J15" s="59">
        <f>IF(ISNUMBER($B$13),899*$B$13^0.638,"")</f>
        <v>20065.757090033629</v>
      </c>
      <c r="K15" s="59">
        <f>IF(ISNUMBER($B$13),2306*$B$13^0.588,"")</f>
        <v>40351.343031701843</v>
      </c>
      <c r="L15" s="59">
        <f>IF(ISNUMBER($B$13),1229*$B$13^0.577,"")</f>
        <v>20384.365470193676</v>
      </c>
    </row>
    <row r="16" spans="1:12" x14ac:dyDescent="0.25">
      <c r="A16" s="121"/>
      <c r="B16" s="121"/>
      <c r="C16" s="121"/>
      <c r="D16" s="121"/>
      <c r="E16" s="121"/>
      <c r="F16" s="122"/>
      <c r="G16" s="121"/>
      <c r="H16" s="121"/>
      <c r="I16" s="339"/>
      <c r="J16" s="339"/>
      <c r="K16" s="339"/>
      <c r="L16" s="339"/>
    </row>
    <row r="17" spans="1:12" x14ac:dyDescent="0.25">
      <c r="A17"/>
      <c r="B17" s="14"/>
      <c r="C17"/>
      <c r="D17" s="18"/>
      <c r="E17" s="66" t="s">
        <v>417</v>
      </c>
      <c r="F17" s="59"/>
      <c r="G17" s="59"/>
      <c r="H17" s="59"/>
      <c r="I17" s="59" t="s">
        <v>367</v>
      </c>
      <c r="J17" s="59" t="s">
        <v>367</v>
      </c>
      <c r="K17" s="59" t="s">
        <v>367</v>
      </c>
      <c r="L17" s="59" t="s">
        <v>367</v>
      </c>
    </row>
    <row r="18" spans="1:12" x14ac:dyDescent="0.25">
      <c r="A18"/>
      <c r="B18"/>
      <c r="C18"/>
      <c r="D18" s="18"/>
      <c r="E18" s="36" t="s">
        <v>422</v>
      </c>
      <c r="F18" s="285"/>
      <c r="G18" s="285"/>
      <c r="H18" s="6" t="s">
        <v>14</v>
      </c>
      <c r="I18" t="s">
        <v>341</v>
      </c>
      <c r="J18" t="s">
        <v>341</v>
      </c>
      <c r="K18" t="s">
        <v>341</v>
      </c>
      <c r="L18" t="s">
        <v>341</v>
      </c>
    </row>
    <row r="19" spans="1:12" x14ac:dyDescent="0.25">
      <c r="A19"/>
      <c r="B19" s="18"/>
      <c r="C19" s="18"/>
      <c r="D19" s="18"/>
      <c r="E19" s="69" t="s">
        <v>420</v>
      </c>
      <c r="F19" s="285"/>
      <c r="G19" s="285"/>
      <c r="H19" s="6" t="s">
        <v>19</v>
      </c>
      <c r="I19" s="17" t="s">
        <v>200</v>
      </c>
      <c r="J19" s="17" t="s">
        <v>200</v>
      </c>
      <c r="K19" s="17" t="s">
        <v>200</v>
      </c>
      <c r="L19" s="17" t="s">
        <v>200</v>
      </c>
    </row>
    <row r="20" spans="1:12" x14ac:dyDescent="0.25">
      <c r="A20" s="19" t="s">
        <v>10</v>
      </c>
      <c r="B20" s="92"/>
      <c r="C20" s="225" t="s">
        <v>583</v>
      </c>
      <c r="D20" s="225"/>
      <c r="E20" s="225"/>
      <c r="H20" s="72" t="s">
        <v>198</v>
      </c>
      <c r="I20" s="72" t="s">
        <v>201</v>
      </c>
      <c r="J20" s="72" t="s">
        <v>201</v>
      </c>
      <c r="K20" s="72" t="s">
        <v>201</v>
      </c>
      <c r="L20" s="72" t="s">
        <v>201</v>
      </c>
    </row>
    <row r="21" spans="1:12" ht="15" customHeight="1" x14ac:dyDescent="0.25">
      <c r="A21" s="36" t="s">
        <v>408</v>
      </c>
      <c r="B21"/>
      <c r="C21" s="62" t="s">
        <v>203</v>
      </c>
      <c r="H21" s="17">
        <v>2</v>
      </c>
      <c r="I21" s="18">
        <f t="shared" ref="I21:I27" si="0">IF(AND($D$28&gt;0,I9&gt;0),($D$28*I9),"")</f>
        <v>25.572033595896258</v>
      </c>
      <c r="J21" s="18">
        <f t="shared" ref="J21:L27" si="1">IF(ISNUMBER($D$28),($D$28*J9),"")</f>
        <v>17.31366934355033</v>
      </c>
      <c r="K21" s="18">
        <f t="shared" si="1"/>
        <v>22.313395391505562</v>
      </c>
      <c r="L21" s="18">
        <f t="shared" si="1"/>
        <v>15.133353045314399</v>
      </c>
    </row>
    <row r="22" spans="1:12" ht="15" customHeight="1" x14ac:dyDescent="0.25">
      <c r="A22" s="33" t="s">
        <v>226</v>
      </c>
      <c r="B22" s="19"/>
      <c r="C22" s="118">
        <v>0.59</v>
      </c>
      <c r="H22" s="17">
        <v>5</v>
      </c>
      <c r="I22" s="18">
        <f t="shared" si="0"/>
        <v>43.244642113475066</v>
      </c>
      <c r="J22" s="18">
        <f t="shared" si="1"/>
        <v>29.191907433877564</v>
      </c>
      <c r="K22" s="18">
        <f t="shared" si="1"/>
        <v>42.304166428653659</v>
      </c>
      <c r="L22" s="18">
        <f t="shared" si="1"/>
        <v>27.225198860933258</v>
      </c>
    </row>
    <row r="23" spans="1:12" x14ac:dyDescent="0.25">
      <c r="A23" t="s">
        <v>406</v>
      </c>
      <c r="B23" s="18"/>
      <c r="C23" s="62" t="s">
        <v>204</v>
      </c>
      <c r="H23" s="17">
        <v>10</v>
      </c>
      <c r="I23" s="18">
        <f t="shared" si="0"/>
        <v>56.621123644046705</v>
      </c>
      <c r="J23" s="18">
        <f t="shared" si="1"/>
        <v>38.663953624139047</v>
      </c>
      <c r="K23" s="18">
        <f t="shared" si="1"/>
        <v>60.076863569391641</v>
      </c>
      <c r="L23" s="18">
        <f t="shared" si="1"/>
        <v>36.658750264561654</v>
      </c>
    </row>
    <row r="24" spans="1:12" x14ac:dyDescent="0.25">
      <c r="A24" s="36" t="s">
        <v>407</v>
      </c>
      <c r="B24"/>
      <c r="C24" s="118">
        <v>82.77</v>
      </c>
      <c r="H24" s="17">
        <v>25</v>
      </c>
      <c r="I24" s="18">
        <f t="shared" si="0"/>
        <v>75.063108374820956</v>
      </c>
      <c r="J24" s="18">
        <f t="shared" si="1"/>
        <v>51.580258352046584</v>
      </c>
      <c r="K24" s="18">
        <f t="shared" si="1"/>
        <v>87.739777915880069</v>
      </c>
      <c r="L24" s="18">
        <f t="shared" si="1"/>
        <v>49.857147885523403</v>
      </c>
    </row>
    <row r="25" spans="1:12" ht="15" customHeight="1" thickBot="1" x14ac:dyDescent="0.3">
      <c r="A25" s="217" t="s">
        <v>228</v>
      </c>
      <c r="B25" s="217"/>
      <c r="C25" s="239">
        <f>IF(ISNUMBER(C22),(2.66*C22^0.46*C24^-0.08),"")</f>
        <v>1.4656954024475468</v>
      </c>
      <c r="D25" s="408"/>
      <c r="E25" s="408"/>
      <c r="F25" s="408"/>
      <c r="G25" s="408"/>
      <c r="H25" s="220">
        <v>50</v>
      </c>
      <c r="I25" s="221">
        <f t="shared" si="0"/>
        <v>88.985416592398479</v>
      </c>
      <c r="J25" s="221">
        <f t="shared" si="1"/>
        <v>61.642326596403812</v>
      </c>
      <c r="K25" s="221">
        <f t="shared" si="1"/>
        <v>111.77727250637305</v>
      </c>
      <c r="L25" s="221">
        <f t="shared" si="1"/>
        <v>60.554494743792581</v>
      </c>
    </row>
    <row r="26" spans="1:12" ht="15" customHeight="1" thickTop="1" x14ac:dyDescent="0.25">
      <c r="A26" t="s">
        <v>268</v>
      </c>
      <c r="B26" s="18"/>
      <c r="C26" s="18"/>
      <c r="D26" s="18"/>
      <c r="E26" s="18"/>
      <c r="F26" s="18"/>
      <c r="G26" s="18"/>
      <c r="H26" s="17">
        <v>100</v>
      </c>
      <c r="I26" s="18">
        <f t="shared" si="0"/>
        <v>102.97526632455197</v>
      </c>
      <c r="J26" s="18">
        <f t="shared" si="1"/>
        <v>72.550539339824738</v>
      </c>
      <c r="K26" s="18">
        <f t="shared" si="1"/>
        <v>139.05245002754361</v>
      </c>
      <c r="L26" s="18">
        <f t="shared" si="1"/>
        <v>72.493226832896923</v>
      </c>
    </row>
    <row r="27" spans="1:12" ht="15" customHeight="1" thickBot="1" x14ac:dyDescent="0.3">
      <c r="A27" s="98" t="s">
        <v>369</v>
      </c>
      <c r="B27" s="217"/>
      <c r="C27" s="221"/>
      <c r="D27" s="240"/>
      <c r="E27" s="221"/>
      <c r="F27" s="221"/>
      <c r="G27" s="221"/>
      <c r="H27" s="220">
        <v>200</v>
      </c>
      <c r="I27" s="221">
        <f t="shared" si="0"/>
        <v>117.63030157507654</v>
      </c>
      <c r="J27" s="221">
        <f t="shared" si="1"/>
        <v>84.243028091187696</v>
      </c>
      <c r="K27" s="221">
        <f t="shared" si="1"/>
        <v>169.40897416849535</v>
      </c>
      <c r="L27" s="221">
        <f t="shared" si="1"/>
        <v>85.580656898288225</v>
      </c>
    </row>
    <row r="28" spans="1:12" ht="15.75" thickBot="1" x14ac:dyDescent="0.3">
      <c r="A28" s="320" t="s">
        <v>368</v>
      </c>
      <c r="B28"/>
      <c r="C28" s="18"/>
      <c r="D28" s="55">
        <f>IF(ISNUMBER(C22),(0.00169*C25)/C22,"")</f>
        <v>4.1983478476887368E-3</v>
      </c>
      <c r="E28" s="18"/>
      <c r="G28" s="549"/>
    </row>
    <row r="29" spans="1:12" x14ac:dyDescent="0.25">
      <c r="A29"/>
      <c r="B29" s="92"/>
      <c r="C29" s="13"/>
      <c r="D29" s="13"/>
      <c r="E29" s="69" t="s">
        <v>421</v>
      </c>
      <c r="F29" s="17"/>
      <c r="G29" s="17"/>
      <c r="H29" s="59"/>
      <c r="I29" s="59" t="s">
        <v>367</v>
      </c>
      <c r="J29" s="59" t="s">
        <v>367</v>
      </c>
      <c r="K29" s="59" t="s">
        <v>367</v>
      </c>
      <c r="L29" s="59" t="s">
        <v>367</v>
      </c>
    </row>
    <row r="30" spans="1:12" x14ac:dyDescent="0.25">
      <c r="A30"/>
      <c r="B30" s="18"/>
      <c r="F30" s="49"/>
      <c r="G30" s="285"/>
      <c r="H30" s="6" t="s">
        <v>14</v>
      </c>
      <c r="I30" t="s">
        <v>341</v>
      </c>
      <c r="J30" t="s">
        <v>341</v>
      </c>
      <c r="K30" t="s">
        <v>341</v>
      </c>
      <c r="L30" t="s">
        <v>341</v>
      </c>
    </row>
    <row r="31" spans="1:12" x14ac:dyDescent="0.25">
      <c r="A31" s="19" t="s">
        <v>242</v>
      </c>
      <c r="B31" s="18"/>
      <c r="C31" s="225" t="s">
        <v>584</v>
      </c>
      <c r="D31" s="225"/>
      <c r="E31" s="225"/>
      <c r="F31" s="49"/>
      <c r="G31" s="285"/>
      <c r="H31" s="6" t="s">
        <v>19</v>
      </c>
      <c r="I31" s="17" t="s">
        <v>200</v>
      </c>
      <c r="J31" s="17" t="s">
        <v>200</v>
      </c>
      <c r="K31" s="17" t="s">
        <v>200</v>
      </c>
      <c r="L31" s="17" t="s">
        <v>200</v>
      </c>
    </row>
    <row r="32" spans="1:12" ht="15" customHeight="1" x14ac:dyDescent="0.25">
      <c r="A32" s="36" t="s">
        <v>408</v>
      </c>
      <c r="B32" s="19"/>
      <c r="C32" s="62" t="s">
        <v>205</v>
      </c>
      <c r="D32" s="341"/>
      <c r="G32" s="18"/>
      <c r="H32" s="72" t="s">
        <v>198</v>
      </c>
      <c r="I32" s="72" t="s">
        <v>201</v>
      </c>
      <c r="J32" s="72" t="s">
        <v>201</v>
      </c>
      <c r="K32" s="72" t="s">
        <v>201</v>
      </c>
      <c r="L32" s="72" t="s">
        <v>201</v>
      </c>
    </row>
    <row r="33" spans="1:12" ht="15" customHeight="1" x14ac:dyDescent="0.25">
      <c r="A33" s="33" t="s">
        <v>226</v>
      </c>
      <c r="B33" s="19"/>
      <c r="C33" s="126">
        <v>130</v>
      </c>
      <c r="G33" s="18"/>
      <c r="H33" s="17">
        <v>2</v>
      </c>
      <c r="I33" s="18">
        <f t="shared" ref="I33:L39" si="2">IF(ISNUMBER($D$39),($D$39*I9),"")</f>
        <v>2.8653979651692452</v>
      </c>
      <c r="J33" s="18">
        <f t="shared" si="2"/>
        <v>1.9400315864821813</v>
      </c>
      <c r="K33" s="18">
        <f t="shared" si="2"/>
        <v>2.5002609788959949</v>
      </c>
      <c r="L33" s="18">
        <f t="shared" si="2"/>
        <v>1.6957227456947532</v>
      </c>
    </row>
    <row r="34" spans="1:12" x14ac:dyDescent="0.25">
      <c r="A34" t="s">
        <v>406</v>
      </c>
      <c r="B34"/>
      <c r="C34" s="62" t="s">
        <v>207</v>
      </c>
      <c r="D34" s="13"/>
      <c r="G34" s="18"/>
      <c r="H34" s="17">
        <v>5</v>
      </c>
      <c r="I34" s="18">
        <f t="shared" si="2"/>
        <v>4.8456494103898322</v>
      </c>
      <c r="J34" s="18">
        <f t="shared" si="2"/>
        <v>3.2710121331087691</v>
      </c>
      <c r="K34" s="18">
        <f t="shared" si="2"/>
        <v>4.7402672121586029</v>
      </c>
      <c r="L34" s="18">
        <f t="shared" si="2"/>
        <v>3.0506384689704631</v>
      </c>
    </row>
    <row r="35" spans="1:12" x14ac:dyDescent="0.25">
      <c r="A35" s="36" t="s">
        <v>407</v>
      </c>
      <c r="B35"/>
      <c r="C35" s="118">
        <v>10.3</v>
      </c>
      <c r="G35" s="18"/>
      <c r="H35" s="17">
        <v>10</v>
      </c>
      <c r="I35" s="18">
        <f t="shared" si="2"/>
        <v>6.3445111577392845</v>
      </c>
      <c r="J35" s="18">
        <f t="shared" si="2"/>
        <v>4.3323740219778628</v>
      </c>
      <c r="K35" s="18">
        <f t="shared" si="2"/>
        <v>6.7317337895688691</v>
      </c>
      <c r="L35" s="18">
        <f t="shared" si="2"/>
        <v>4.1076869393202813</v>
      </c>
    </row>
    <row r="36" spans="1:12" ht="15" customHeight="1" thickBot="1" x14ac:dyDescent="0.3">
      <c r="A36" t="s">
        <v>228</v>
      </c>
      <c r="B36"/>
      <c r="C36" s="76">
        <f>IF(ISNUMBER(C35),(5.06*(C33^0.5)*C35^-0.2)," ")</f>
        <v>36.18718061584795</v>
      </c>
      <c r="G36" s="18"/>
      <c r="H36" s="17">
        <v>25</v>
      </c>
      <c r="I36" s="18">
        <f t="shared" si="2"/>
        <v>8.410972760140865</v>
      </c>
      <c r="J36" s="18">
        <f t="shared" si="2"/>
        <v>5.7796720300170623</v>
      </c>
      <c r="K36" s="18">
        <f t="shared" si="2"/>
        <v>9.8314191619437654</v>
      </c>
      <c r="L36" s="18">
        <f t="shared" si="2"/>
        <v>5.5865940252497879</v>
      </c>
    </row>
    <row r="37" spans="1:12" ht="15" customHeight="1" thickTop="1" x14ac:dyDescent="0.25">
      <c r="A37" t="s">
        <v>268</v>
      </c>
      <c r="B37" s="18"/>
      <c r="C37" s="18"/>
      <c r="D37" s="18"/>
      <c r="E37" s="18"/>
      <c r="F37" s="18"/>
      <c r="G37" s="18"/>
      <c r="H37" s="17">
        <v>50</v>
      </c>
      <c r="I37" s="18">
        <f t="shared" si="2"/>
        <v>9.9709954891704253</v>
      </c>
      <c r="J37" s="18">
        <f t="shared" si="2"/>
        <v>6.9071470806286861</v>
      </c>
      <c r="K37" s="18">
        <f t="shared" si="2"/>
        <v>12.524868935074775</v>
      </c>
      <c r="L37" s="18">
        <f t="shared" si="2"/>
        <v>6.7852533264526889</v>
      </c>
    </row>
    <row r="38" spans="1:12" ht="15" customHeight="1" x14ac:dyDescent="0.25">
      <c r="A38" s="98" t="s">
        <v>369</v>
      </c>
      <c r="B38" s="217"/>
      <c r="C38" s="221"/>
      <c r="D38" s="221"/>
      <c r="E38" s="221"/>
      <c r="F38" s="221"/>
      <c r="G38" s="221"/>
      <c r="H38" s="220">
        <v>100</v>
      </c>
      <c r="I38" s="221">
        <f t="shared" si="2"/>
        <v>11.538586381197453</v>
      </c>
      <c r="J38" s="221">
        <f t="shared" si="2"/>
        <v>8.1294343297603895</v>
      </c>
      <c r="K38" s="221">
        <f t="shared" si="2"/>
        <v>15.581107613774698</v>
      </c>
      <c r="L38" s="221">
        <f t="shared" si="2"/>
        <v>8.1230123477105902</v>
      </c>
    </row>
    <row r="39" spans="1:12" x14ac:dyDescent="0.25">
      <c r="A39" s="320" t="s">
        <v>368</v>
      </c>
      <c r="B39"/>
      <c r="C39" s="18"/>
      <c r="D39" s="55">
        <f>IF(ISNUMBER(C33),(0.00169*C36)/C33,"")</f>
        <v>4.7043334800602339E-4</v>
      </c>
      <c r="E39" s="18"/>
      <c r="F39" s="18"/>
      <c r="G39" s="18"/>
      <c r="H39" s="17">
        <v>200</v>
      </c>
      <c r="I39" s="18">
        <f t="shared" si="2"/>
        <v>13.180712652808309</v>
      </c>
      <c r="J39" s="18">
        <f t="shared" si="2"/>
        <v>9.4396012881401212</v>
      </c>
      <c r="K39" s="18">
        <f t="shared" si="2"/>
        <v>18.98261739894302</v>
      </c>
      <c r="L39" s="18">
        <f t="shared" si="2"/>
        <v>9.5894852951215874</v>
      </c>
    </row>
  </sheetData>
  <sheetProtection algorithmName="SHA-512" hashValue="B2qydVlx7eOEZRamqIzlpkmsG84GApx02Iv3thopEIsv8A19xfibVP5LuPi13kiOsPE9kV4qHUeZIoSwnpHbxQ==" saltValue="bY/1aFe0nUGCfPVCq9Wq2Q==" spinCount="100000" sheet="1" objects="1" scenarios="1" selectLockedCells="1"/>
  <printOptions horizontalCentered="1"/>
  <pageMargins left="0.7" right="0.7" top="0.75" bottom="0.75" header="0.55000000000000004" footer="0.3"/>
  <pageSetup scale="85" pageOrder="overThenDown" orientation="landscape" r:id="rId1"/>
  <headerFooter>
    <oddHeader xml:space="preserve">&amp;C&amp;12
</oddHeader>
    <oddFooter>&amp;R&amp;T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I43"/>
  <sheetViews>
    <sheetView zoomScaleNormal="100" workbookViewId="0">
      <selection activeCell="C7" sqref="C7"/>
    </sheetView>
  </sheetViews>
  <sheetFormatPr defaultColWidth="8.7109375" defaultRowHeight="15" x14ac:dyDescent="0.25"/>
  <cols>
    <col min="1" max="1" width="17" style="13" customWidth="1"/>
    <col min="2" max="2" width="11" style="13" customWidth="1"/>
    <col min="3" max="3" width="9.85546875" style="13" customWidth="1"/>
    <col min="4" max="4" width="9.7109375" style="13" customWidth="1"/>
    <col min="5" max="5" width="10" style="13" customWidth="1"/>
    <col min="6" max="6" width="10.7109375" style="13" customWidth="1"/>
    <col min="7" max="7" width="10.140625" style="13" customWidth="1"/>
    <col min="8" max="8" width="9.85546875" style="13" bestFit="1" customWidth="1"/>
    <col min="9" max="9" width="9.140625" style="13" customWidth="1"/>
    <col min="10" max="16384" width="8.7109375" style="13"/>
  </cols>
  <sheetData>
    <row r="1" spans="1:8" ht="18.75" x14ac:dyDescent="0.3">
      <c r="A1" s="19"/>
      <c r="B1"/>
      <c r="C1"/>
      <c r="D1"/>
      <c r="E1" s="289" t="s">
        <v>587</v>
      </c>
      <c r="F1" s="289"/>
      <c r="G1" s="19"/>
      <c r="H1" s="18"/>
    </row>
    <row r="2" spans="1:8" x14ac:dyDescent="0.25">
      <c r="A2" s="19"/>
      <c r="B2" s="19"/>
      <c r="C2" s="19"/>
      <c r="D2" s="19"/>
      <c r="E2" s="19"/>
      <c r="F2" s="19"/>
      <c r="G2" s="326"/>
      <c r="H2" s="285"/>
    </row>
    <row r="3" spans="1:8" x14ac:dyDescent="0.25">
      <c r="A3" s="1" t="s">
        <v>0</v>
      </c>
      <c r="B3" s="583"/>
      <c r="C3" s="584"/>
      <c r="D3" s="584"/>
      <c r="E3" s="585"/>
      <c r="F3" s="19"/>
      <c r="G3"/>
      <c r="H3"/>
    </row>
    <row r="4" spans="1:8" ht="15" customHeight="1" x14ac:dyDescent="0.25">
      <c r="A4" s="173" t="s">
        <v>4</v>
      </c>
      <c r="B4" s="440" t="s">
        <v>229</v>
      </c>
      <c r="C4" s="441"/>
      <c r="D4" s="584"/>
      <c r="E4" s="585"/>
      <c r="F4" s="178" t="s">
        <v>380</v>
      </c>
      <c r="G4" s="178" t="s">
        <v>381</v>
      </c>
      <c r="H4" s="178" t="s">
        <v>468</v>
      </c>
    </row>
    <row r="5" spans="1:8" x14ac:dyDescent="0.25">
      <c r="A5" s="1" t="s">
        <v>173</v>
      </c>
      <c r="B5" s="440" t="s">
        <v>232</v>
      </c>
      <c r="C5" s="441"/>
      <c r="D5" s="447"/>
      <c r="E5" s="448"/>
      <c r="F5" s="119">
        <v>32.715600000000002</v>
      </c>
      <c r="G5" s="120">
        <v>86.089399999999998</v>
      </c>
      <c r="H5" s="119">
        <v>557</v>
      </c>
    </row>
    <row r="6" spans="1:8" x14ac:dyDescent="0.25">
      <c r="A6" s="1" t="s">
        <v>118</v>
      </c>
      <c r="B6" s="443" t="s">
        <v>231</v>
      </c>
      <c r="C6" s="447"/>
      <c r="D6" s="444"/>
      <c r="E6" s="448"/>
      <c r="F6"/>
      <c r="G6" s="419" t="s">
        <v>222</v>
      </c>
      <c r="H6" s="73" t="s">
        <v>246</v>
      </c>
    </row>
    <row r="7" spans="1:8" x14ac:dyDescent="0.25">
      <c r="A7" s="33" t="s">
        <v>164</v>
      </c>
      <c r="B7" s="416" t="s">
        <v>255</v>
      </c>
      <c r="C7" s="447"/>
      <c r="D7" s="448"/>
      <c r="E7" s="449"/>
      <c r="F7"/>
      <c r="G7" s="168" t="s">
        <v>244</v>
      </c>
      <c r="H7" s="194" t="s">
        <v>30</v>
      </c>
    </row>
    <row r="8" spans="1:8" ht="15" customHeight="1" x14ac:dyDescent="0.25">
      <c r="A8" s="173" t="s">
        <v>10</v>
      </c>
      <c r="B8" s="442" t="s">
        <v>230</v>
      </c>
      <c r="C8" s="446"/>
      <c r="D8" s="444"/>
      <c r="E8" s="448"/>
      <c r="F8" s="217"/>
      <c r="G8" s="242" t="s">
        <v>245</v>
      </c>
      <c r="H8" s="243" t="s">
        <v>342</v>
      </c>
    </row>
    <row r="9" spans="1:8" x14ac:dyDescent="0.25">
      <c r="A9" t="s">
        <v>395</v>
      </c>
      <c r="B9" s="417">
        <v>42564</v>
      </c>
      <c r="C9" s="448"/>
      <c r="D9" s="449"/>
      <c r="F9"/>
      <c r="G9" s="236" t="s">
        <v>198</v>
      </c>
      <c r="H9" s="237" t="s">
        <v>197</v>
      </c>
    </row>
    <row r="10" spans="1:8" x14ac:dyDescent="0.25">
      <c r="A10" s="33" t="s">
        <v>122</v>
      </c>
      <c r="B10" s="440" t="s">
        <v>2</v>
      </c>
      <c r="C10" s="448"/>
      <c r="F10" s="19"/>
      <c r="G10" s="285">
        <v>2</v>
      </c>
      <c r="H10" s="60">
        <f>IF(ISNUMBER($B$16),(189*$B$16^0.742),"")</f>
        <v>230.92827185934564</v>
      </c>
    </row>
    <row r="11" spans="1:8" x14ac:dyDescent="0.25">
      <c r="A11"/>
      <c r="F11"/>
      <c r="G11" s="285">
        <v>5</v>
      </c>
      <c r="H11" s="60">
        <f>IF(ISNUMBER($B$16),(331*$B$16^0.732),"")</f>
        <v>403.33933896876431</v>
      </c>
    </row>
    <row r="12" spans="1:8" x14ac:dyDescent="0.25">
      <c r="A12" s="33" t="s">
        <v>238</v>
      </c>
      <c r="B12" s="126" t="s">
        <v>236</v>
      </c>
      <c r="C12" s="57"/>
      <c r="F12" s="19"/>
      <c r="G12" s="285">
        <v>10</v>
      </c>
      <c r="H12" s="60">
        <f>IF(ISNUMBER($B$16),(449*$B$16^0.731),"")</f>
        <v>546.98026603076903</v>
      </c>
    </row>
    <row r="13" spans="1:8" x14ac:dyDescent="0.25">
      <c r="A13" s="36" t="s">
        <v>405</v>
      </c>
      <c r="B13" s="17" t="s">
        <v>251</v>
      </c>
      <c r="C13" s="57"/>
      <c r="F13" s="17"/>
      <c r="G13" s="285">
        <v>25</v>
      </c>
      <c r="H13" s="60">
        <f>IF(ISNUMBER($B$16),(626*$B$16^0.732),"")</f>
        <v>762.81095527023103</v>
      </c>
    </row>
    <row r="14" spans="1:8" x14ac:dyDescent="0.25">
      <c r="A14" s="36" t="s">
        <v>234</v>
      </c>
      <c r="B14" s="118" t="s">
        <v>403</v>
      </c>
      <c r="D14" s="16"/>
      <c r="F14"/>
      <c r="G14" s="285">
        <v>50</v>
      </c>
      <c r="H14" s="60">
        <f>IF(ISNUMBER($B$16),(776*$B$16^0.733),"")</f>
        <v>945.84850333422548</v>
      </c>
    </row>
    <row r="15" spans="1:8" ht="15" customHeight="1" x14ac:dyDescent="0.25">
      <c r="A15" s="36" t="s">
        <v>224</v>
      </c>
      <c r="B15" s="17" t="s">
        <v>248</v>
      </c>
      <c r="C15" s="61"/>
      <c r="D15" s="16"/>
      <c r="F15"/>
      <c r="G15" s="285">
        <v>100</v>
      </c>
      <c r="H15" s="60">
        <f>IF(ISNUMBER($B$16),(941*$B$16^0.733),"")</f>
        <v>1146.9631979864771</v>
      </c>
    </row>
    <row r="16" spans="1:8" ht="15" customHeight="1" x14ac:dyDescent="0.25">
      <c r="A16" s="33" t="s">
        <v>226</v>
      </c>
      <c r="B16" s="118">
        <v>1.31</v>
      </c>
      <c r="C16" s="57"/>
      <c r="D16" s="61"/>
      <c r="E16" s="61"/>
      <c r="F16" s="324"/>
      <c r="G16" s="285">
        <v>200</v>
      </c>
      <c r="H16" s="60">
        <f>IF(ISNUMBER($B$16),(1126*$B$16^0.732),"")</f>
        <v>1372.0848812049203</v>
      </c>
    </row>
    <row r="17" spans="1:9" x14ac:dyDescent="0.25">
      <c r="A17" s="259"/>
      <c r="B17" s="342"/>
      <c r="C17" s="342"/>
      <c r="D17" s="342"/>
      <c r="E17" s="342"/>
      <c r="F17" s="259"/>
      <c r="G17" s="259"/>
      <c r="H17" s="260"/>
      <c r="I17" s="64"/>
    </row>
    <row r="18" spans="1:9" x14ac:dyDescent="0.25">
      <c r="A18" s="19"/>
      <c r="B18" s="19"/>
      <c r="C18"/>
      <c r="D18"/>
      <c r="E18"/>
      <c r="F18"/>
      <c r="G18"/>
      <c r="H18"/>
    </row>
    <row r="19" spans="1:9" x14ac:dyDescent="0.25">
      <c r="A19" s="19"/>
      <c r="B19" s="19"/>
      <c r="C19" s="14" t="s">
        <v>418</v>
      </c>
      <c r="D19"/>
      <c r="E19" s="14"/>
      <c r="F19"/>
      <c r="G19"/>
      <c r="H19"/>
    </row>
    <row r="20" spans="1:9" x14ac:dyDescent="0.25">
      <c r="A20"/>
      <c r="B20"/>
      <c r="C20" s="36" t="s">
        <v>419</v>
      </c>
      <c r="D20"/>
      <c r="E20" s="96"/>
      <c r="F20" s="96"/>
      <c r="G20"/>
      <c r="H20"/>
    </row>
    <row r="21" spans="1:9" x14ac:dyDescent="0.25">
      <c r="A21"/>
      <c r="B21"/>
      <c r="C21"/>
      <c r="D21"/>
      <c r="E21"/>
      <c r="F21"/>
      <c r="G21"/>
      <c r="H21" s="17" t="s">
        <v>370</v>
      </c>
    </row>
    <row r="22" spans="1:9" x14ac:dyDescent="0.25">
      <c r="A22" s="19"/>
      <c r="B22" s="19"/>
      <c r="C22"/>
      <c r="D22" s="39" t="s">
        <v>235</v>
      </c>
      <c r="E22" s="65"/>
      <c r="F22"/>
      <c r="G22" s="6" t="s">
        <v>244</v>
      </c>
      <c r="H22" t="s">
        <v>341</v>
      </c>
    </row>
    <row r="23" spans="1:9" x14ac:dyDescent="0.25">
      <c r="A23" s="19" t="s">
        <v>242</v>
      </c>
      <c r="B23" s="225" t="s">
        <v>252</v>
      </c>
      <c r="C23" s="445"/>
      <c r="D23" s="445"/>
      <c r="E23" s="57"/>
      <c r="F23" s="57"/>
      <c r="G23" s="6" t="s">
        <v>245</v>
      </c>
      <c r="H23" s="17" t="s">
        <v>200</v>
      </c>
    </row>
    <row r="24" spans="1:9" ht="15" customHeight="1" x14ac:dyDescent="0.25">
      <c r="A24" s="36" t="s">
        <v>408</v>
      </c>
      <c r="B24" s="62" t="s">
        <v>203</v>
      </c>
      <c r="D24" s="57"/>
      <c r="E24" s="57"/>
      <c r="F24" s="57"/>
      <c r="G24" s="72" t="s">
        <v>198</v>
      </c>
      <c r="H24" s="72" t="s">
        <v>201</v>
      </c>
    </row>
    <row r="25" spans="1:9" ht="15" customHeight="1" x14ac:dyDescent="0.25">
      <c r="A25" s="33" t="s">
        <v>226</v>
      </c>
      <c r="B25" s="118">
        <v>1.31</v>
      </c>
      <c r="D25" s="57"/>
      <c r="G25" s="17">
        <v>2</v>
      </c>
      <c r="H25" s="29">
        <f>IF(ISNUMBER($C$30),$C$30*H10,"")</f>
        <v>0.64690573403280027</v>
      </c>
    </row>
    <row r="26" spans="1:9" x14ac:dyDescent="0.25">
      <c r="A26" s="100" t="s">
        <v>409</v>
      </c>
      <c r="B26" s="75" t="s">
        <v>204</v>
      </c>
      <c r="D26" s="57"/>
      <c r="E26" s="16"/>
      <c r="F26" s="16"/>
      <c r="G26" s="17">
        <v>5</v>
      </c>
      <c r="H26" s="29">
        <f t="shared" ref="H26:H31" si="0">IF(ISNUMBER($C$30),$C$30*H11,"")</f>
        <v>1.1298856092372105</v>
      </c>
    </row>
    <row r="27" spans="1:9" x14ac:dyDescent="0.25">
      <c r="A27" s="36" t="s">
        <v>407</v>
      </c>
      <c r="B27" s="118">
        <v>59.7</v>
      </c>
      <c r="E27" s="16"/>
      <c r="F27" s="16"/>
      <c r="G27" s="17">
        <v>10</v>
      </c>
      <c r="H27" s="29">
        <f t="shared" si="0"/>
        <v>1.5322708980111868</v>
      </c>
    </row>
    <row r="28" spans="1:9" ht="15" customHeight="1" thickBot="1" x14ac:dyDescent="0.3">
      <c r="A28" s="217" t="s">
        <v>228</v>
      </c>
      <c r="B28" s="244">
        <f>2.66*B25^0.46*B27^-0.08</f>
        <v>2.1714432622409481</v>
      </c>
      <c r="C28" s="185"/>
      <c r="D28" s="408"/>
      <c r="E28" s="436"/>
      <c r="F28" s="436"/>
      <c r="G28" s="220">
        <v>25</v>
      </c>
      <c r="H28" s="245">
        <f t="shared" si="0"/>
        <v>2.1368833576510387</v>
      </c>
    </row>
    <row r="29" spans="1:9" ht="15" customHeight="1" thickTop="1" x14ac:dyDescent="0.25">
      <c r="A29" t="s">
        <v>268</v>
      </c>
      <c r="B29"/>
      <c r="D29" s="16"/>
      <c r="E29" s="58"/>
      <c r="F29" s="58"/>
      <c r="G29" s="17">
        <v>50</v>
      </c>
      <c r="H29" s="29">
        <f t="shared" si="0"/>
        <v>2.6496314868970865</v>
      </c>
    </row>
    <row r="30" spans="1:9" x14ac:dyDescent="0.25">
      <c r="A30" s="320" t="s">
        <v>371</v>
      </c>
      <c r="B30" s="19"/>
      <c r="C30" s="55">
        <f>IF(ISNUMBER(B25),(0.00169*B28)/B25,"")</f>
        <v>2.8013275673184753E-3</v>
      </c>
      <c r="D30" s="437"/>
      <c r="G30" s="17">
        <v>100</v>
      </c>
      <c r="H30" s="29">
        <f>IF(ISNUMBER($C$30),$C$30*H15,"")</f>
        <v>3.2130196252192769</v>
      </c>
    </row>
    <row r="31" spans="1:9" x14ac:dyDescent="0.25">
      <c r="A31" s="57"/>
      <c r="B31" s="57"/>
      <c r="D31" s="435"/>
      <c r="E31" s="57"/>
      <c r="G31" s="17">
        <v>200</v>
      </c>
      <c r="H31" s="29">
        <f t="shared" si="0"/>
        <v>3.8436592024202385</v>
      </c>
    </row>
    <row r="32" spans="1:9" x14ac:dyDescent="0.25">
      <c r="D32" s="57"/>
      <c r="E32" s="438"/>
      <c r="F32" s="438"/>
      <c r="G32"/>
      <c r="H32"/>
    </row>
    <row r="33" spans="1:8" x14ac:dyDescent="0.25">
      <c r="A33"/>
      <c r="B33"/>
      <c r="C33"/>
      <c r="D33"/>
      <c r="E33"/>
      <c r="F33" s="95"/>
      <c r="G33"/>
      <c r="H33" s="17" t="s">
        <v>370</v>
      </c>
    </row>
    <row r="34" spans="1:8" x14ac:dyDescent="0.25">
      <c r="A34" s="19"/>
      <c r="B34" s="19"/>
      <c r="C34" s="65"/>
      <c r="D34" s="39" t="s">
        <v>237</v>
      </c>
      <c r="E34" s="95"/>
      <c r="F34" s="62"/>
      <c r="G34" s="6" t="s">
        <v>244</v>
      </c>
      <c r="H34" t="s">
        <v>341</v>
      </c>
    </row>
    <row r="35" spans="1:8" x14ac:dyDescent="0.25">
      <c r="A35" s="19" t="s">
        <v>10</v>
      </c>
      <c r="B35" s="225" t="s">
        <v>208</v>
      </c>
      <c r="C35" s="445"/>
      <c r="D35" s="445"/>
      <c r="E35" s="341"/>
      <c r="F35" s="57"/>
      <c r="G35" s="6" t="s">
        <v>245</v>
      </c>
      <c r="H35" s="17" t="s">
        <v>200</v>
      </c>
    </row>
    <row r="36" spans="1:8" ht="15" customHeight="1" x14ac:dyDescent="0.25">
      <c r="A36" s="36" t="s">
        <v>408</v>
      </c>
      <c r="B36" s="63" t="s">
        <v>205</v>
      </c>
      <c r="E36" s="57"/>
      <c r="F36" s="16"/>
      <c r="G36" s="72" t="s">
        <v>198</v>
      </c>
      <c r="H36" s="72" t="s">
        <v>201</v>
      </c>
    </row>
    <row r="37" spans="1:8" ht="15" customHeight="1" x14ac:dyDescent="0.25">
      <c r="A37" s="33" t="s">
        <v>226</v>
      </c>
      <c r="B37" s="118">
        <v>3.65</v>
      </c>
      <c r="D37" s="343"/>
      <c r="E37" s="16"/>
      <c r="F37" s="16"/>
      <c r="G37" s="17">
        <v>2</v>
      </c>
      <c r="H37" s="29">
        <f t="shared" ref="H37:H43" si="1">IF(ISNUMBER($C$42),$C$42*H10,"")</f>
        <v>0.47756135179451131</v>
      </c>
    </row>
    <row r="38" spans="1:8" x14ac:dyDescent="0.25">
      <c r="A38" s="320" t="s">
        <v>409</v>
      </c>
      <c r="B38" s="62" t="s">
        <v>207</v>
      </c>
      <c r="D38" s="343"/>
      <c r="E38" s="16"/>
      <c r="F38" s="58"/>
      <c r="G38" s="17">
        <v>5</v>
      </c>
      <c r="H38" s="29">
        <f t="shared" si="1"/>
        <v>0.83410869703796475</v>
      </c>
    </row>
    <row r="39" spans="1:8" x14ac:dyDescent="0.25">
      <c r="A39" s="36" t="s">
        <v>407</v>
      </c>
      <c r="B39" s="228">
        <v>47.5</v>
      </c>
      <c r="D39" s="344"/>
      <c r="E39" s="57"/>
      <c r="F39" s="57"/>
      <c r="G39" s="17">
        <v>10</v>
      </c>
      <c r="H39" s="29">
        <f t="shared" si="1"/>
        <v>1.1311591826646412</v>
      </c>
    </row>
    <row r="40" spans="1:8" ht="15" customHeight="1" thickBot="1" x14ac:dyDescent="0.3">
      <c r="A40" s="98" t="s">
        <v>228</v>
      </c>
      <c r="B40" s="244">
        <f>IF(ISNUMBER(B39),(5.06*(B37^0.5)*B39^-0.2),"")</f>
        <v>4.4664062970676444</v>
      </c>
      <c r="C40" s="185"/>
      <c r="D40" s="185"/>
      <c r="E40" s="411"/>
      <c r="F40" s="411"/>
      <c r="G40" s="220">
        <v>25</v>
      </c>
      <c r="H40" s="245">
        <f t="shared" si="1"/>
        <v>1.5774986234011055</v>
      </c>
    </row>
    <row r="41" spans="1:8" ht="15" customHeight="1" thickTop="1" x14ac:dyDescent="0.25">
      <c r="A41" t="s">
        <v>268</v>
      </c>
      <c r="B41"/>
      <c r="D41" s="412"/>
      <c r="E41" s="57"/>
      <c r="F41" s="57"/>
      <c r="G41" s="17">
        <v>50</v>
      </c>
      <c r="H41" s="29">
        <f t="shared" si="1"/>
        <v>1.9560216088233275</v>
      </c>
    </row>
    <row r="42" spans="1:8" x14ac:dyDescent="0.25">
      <c r="A42" s="320" t="s">
        <v>371</v>
      </c>
      <c r="B42" s="19"/>
      <c r="C42" s="55">
        <f>IF(ISNUMBER(B37),(0.00169*B40)/B37,"")</f>
        <v>2.0680072991902244E-3</v>
      </c>
      <c r="D42" s="57"/>
      <c r="E42" s="57"/>
      <c r="F42" s="57"/>
      <c r="G42" s="17">
        <v>100</v>
      </c>
      <c r="H42" s="29">
        <f t="shared" si="1"/>
        <v>2.3719282653385974</v>
      </c>
    </row>
    <row r="43" spans="1:8" x14ac:dyDescent="0.25">
      <c r="C43" s="57"/>
      <c r="E43" s="57"/>
      <c r="F43" s="57"/>
      <c r="G43" s="17">
        <v>200</v>
      </c>
      <c r="H43" s="29">
        <f t="shared" si="1"/>
        <v>2.8374815494403269</v>
      </c>
    </row>
  </sheetData>
  <sheetProtection algorithmName="SHA-512" hashValue="mLAhG4mpb/T/deJkgcXFs3B7VNid2H1JW4hUPhGScKD1oYjkta7IFCi1JCJRKz4yFiTm7KRmN3wkRwqSEuyb7g==" saltValue="U8VlEHj1RZvW+M/DZncADw==" spinCount="100000" sheet="1" objects="1" scenarios="1" selectLockedCells="1"/>
  <mergeCells count="3">
    <mergeCell ref="B3:C3"/>
    <mergeCell ref="D3:E3"/>
    <mergeCell ref="D4:E4"/>
  </mergeCells>
  <pageMargins left="0.7" right="0.7" top="0.75" bottom="0.75" header="0.3" footer="0.3"/>
  <pageSetup orientation="portrait" r:id="rId1"/>
  <headerFooter>
    <oddFooter>&amp;R&amp;T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339"/>
  <sheetViews>
    <sheetView workbookViewId="0">
      <selection activeCell="E8" sqref="E8"/>
    </sheetView>
  </sheetViews>
  <sheetFormatPr defaultColWidth="8.7109375" defaultRowHeight="15" x14ac:dyDescent="0.25"/>
  <cols>
    <col min="1" max="1" width="10.5703125" customWidth="1"/>
    <col min="2" max="2" width="13.7109375" style="17" bestFit="1" customWidth="1"/>
    <col min="3" max="3" width="11.7109375" style="83" bestFit="1" customWidth="1"/>
    <col min="4" max="4" width="8.7109375" style="19"/>
    <col min="6" max="6" width="12.7109375" customWidth="1"/>
  </cols>
  <sheetData>
    <row r="1" spans="1:8" s="249" customFormat="1" ht="18.75" x14ac:dyDescent="0.3">
      <c r="A1" s="247" t="s">
        <v>276</v>
      </c>
      <c r="B1" s="271"/>
      <c r="C1" s="247" t="s">
        <v>277</v>
      </c>
      <c r="D1" s="247" t="s">
        <v>278</v>
      </c>
      <c r="E1" s="247"/>
      <c r="F1" s="247"/>
      <c r="G1" s="248" t="s">
        <v>279</v>
      </c>
      <c r="H1" s="247"/>
    </row>
    <row r="3" spans="1:8" x14ac:dyDescent="0.25">
      <c r="A3" s="55" t="s">
        <v>423</v>
      </c>
      <c r="B3" s="43" t="s">
        <v>424</v>
      </c>
      <c r="C3" s="43" t="s">
        <v>25</v>
      </c>
      <c r="D3" s="29" t="s">
        <v>21</v>
      </c>
      <c r="E3" s="43" t="s">
        <v>22</v>
      </c>
      <c r="F3" s="28" t="s">
        <v>23</v>
      </c>
    </row>
    <row r="4" spans="1:8" x14ac:dyDescent="0.25">
      <c r="B4" s="17" t="s">
        <v>425</v>
      </c>
      <c r="C4" s="43">
        <v>2</v>
      </c>
      <c r="D4" s="29">
        <v>21.61</v>
      </c>
      <c r="E4" s="29">
        <v>1.72</v>
      </c>
      <c r="F4" s="105">
        <v>0.55968101839997075</v>
      </c>
    </row>
    <row r="5" spans="1:8" x14ac:dyDescent="0.25">
      <c r="A5" s="55" t="s">
        <v>289</v>
      </c>
      <c r="B5" s="43" t="str">
        <f>[2]Andalusia!G2</f>
        <v>31.3067˚</v>
      </c>
      <c r="C5" s="43">
        <v>5</v>
      </c>
      <c r="D5" s="29">
        <v>29.14</v>
      </c>
      <c r="E5" s="29">
        <v>2.2400000000000002</v>
      </c>
      <c r="F5" s="105">
        <v>0.59349108417904572</v>
      </c>
    </row>
    <row r="6" spans="1:8" x14ac:dyDescent="0.25">
      <c r="A6" s="55" t="s">
        <v>291</v>
      </c>
      <c r="B6" s="43" t="str">
        <f>[2]Andalusia!I2</f>
        <v>86.5222˚</v>
      </c>
      <c r="C6" s="43">
        <v>10</v>
      </c>
      <c r="D6" s="43">
        <v>32.840000000000003</v>
      </c>
      <c r="E6" s="43">
        <v>2.09</v>
      </c>
      <c r="F6" s="105">
        <v>0.59196918288288991</v>
      </c>
    </row>
    <row r="7" spans="1:8" x14ac:dyDescent="0.25">
      <c r="A7" s="55" t="s">
        <v>320</v>
      </c>
      <c r="B7" s="43" t="s">
        <v>300</v>
      </c>
      <c r="C7" s="43">
        <v>25</v>
      </c>
      <c r="D7" s="29">
        <v>37.020000000000003</v>
      </c>
      <c r="E7" s="29">
        <v>2.1</v>
      </c>
      <c r="F7" s="104">
        <v>0.57899278921535058</v>
      </c>
    </row>
    <row r="8" spans="1:8" x14ac:dyDescent="0.25">
      <c r="A8" s="74"/>
      <c r="B8" s="226"/>
      <c r="C8" s="43">
        <v>50</v>
      </c>
      <c r="D8" s="29">
        <v>36.67</v>
      </c>
      <c r="E8" s="29">
        <v>1.47</v>
      </c>
      <c r="F8" s="105">
        <v>0.54719082564913157</v>
      </c>
    </row>
    <row r="9" spans="1:8" x14ac:dyDescent="0.25">
      <c r="A9" s="74"/>
      <c r="B9" s="226"/>
      <c r="C9" s="43">
        <v>100</v>
      </c>
      <c r="D9" s="29">
        <v>35.46</v>
      </c>
      <c r="E9" s="29">
        <v>0.84</v>
      </c>
      <c r="F9" s="105">
        <v>0.5106596492553217</v>
      </c>
    </row>
    <row r="10" spans="1:8" x14ac:dyDescent="0.25">
      <c r="A10" s="74"/>
      <c r="B10" s="226"/>
      <c r="C10" s="43">
        <v>200</v>
      </c>
      <c r="D10" s="29">
        <v>35.18</v>
      </c>
      <c r="E10" s="43">
        <v>0.43</v>
      </c>
      <c r="F10" s="105">
        <v>0.48060343062251265</v>
      </c>
    </row>
    <row r="11" spans="1:8" x14ac:dyDescent="0.25">
      <c r="C11" s="17"/>
      <c r="D11" s="17"/>
      <c r="E11" s="17"/>
      <c r="F11" s="17"/>
    </row>
    <row r="12" spans="1:8" x14ac:dyDescent="0.25">
      <c r="A12" s="55" t="s">
        <v>423</v>
      </c>
      <c r="B12" s="17" t="s">
        <v>426</v>
      </c>
      <c r="C12" s="43" t="s">
        <v>25</v>
      </c>
      <c r="D12" s="29" t="s">
        <v>21</v>
      </c>
      <c r="E12" s="43" t="s">
        <v>22</v>
      </c>
      <c r="F12" s="28" t="s">
        <v>23</v>
      </c>
    </row>
    <row r="13" spans="1:8" x14ac:dyDescent="0.25">
      <c r="B13" s="17" t="s">
        <v>427</v>
      </c>
      <c r="C13" s="43">
        <v>2</v>
      </c>
      <c r="D13" s="29">
        <v>16.54</v>
      </c>
      <c r="E13" s="29">
        <v>1.73</v>
      </c>
      <c r="F13" s="105">
        <v>0.56055947100601378</v>
      </c>
    </row>
    <row r="14" spans="1:8" ht="16.5" x14ac:dyDescent="0.3">
      <c r="A14" s="55" t="s">
        <v>289</v>
      </c>
      <c r="B14" s="43" t="s">
        <v>304</v>
      </c>
      <c r="C14" s="43">
        <v>5</v>
      </c>
      <c r="D14" s="29">
        <v>19.73</v>
      </c>
      <c r="E14" s="29">
        <v>1.63</v>
      </c>
      <c r="F14" s="109">
        <v>0.55541000785957562</v>
      </c>
    </row>
    <row r="15" spans="1:8" ht="16.5" x14ac:dyDescent="0.3">
      <c r="A15" s="55" t="s">
        <v>291</v>
      </c>
      <c r="B15" s="43" t="s">
        <v>305</v>
      </c>
      <c r="C15" s="43">
        <v>10</v>
      </c>
      <c r="D15" s="29">
        <v>22.52</v>
      </c>
      <c r="E15" s="29">
        <v>1.59</v>
      </c>
      <c r="F15" s="105">
        <v>0.55155004581842071</v>
      </c>
    </row>
    <row r="16" spans="1:8" x14ac:dyDescent="0.25">
      <c r="A16" s="55" t="s">
        <v>320</v>
      </c>
      <c r="B16" s="43" t="s">
        <v>306</v>
      </c>
      <c r="C16" s="43">
        <v>25</v>
      </c>
      <c r="D16" s="29">
        <v>26.09</v>
      </c>
      <c r="E16" s="43">
        <v>1.47</v>
      </c>
      <c r="F16" s="105">
        <v>0.5427563578145479</v>
      </c>
    </row>
    <row r="17" spans="1:6" x14ac:dyDescent="0.25">
      <c r="C17" s="43">
        <v>50</v>
      </c>
      <c r="D17" s="29">
        <v>28.1</v>
      </c>
      <c r="E17" s="43">
        <v>1.19</v>
      </c>
      <c r="F17" s="105">
        <v>0.52962625341841374</v>
      </c>
    </row>
    <row r="18" spans="1:6" x14ac:dyDescent="0.25">
      <c r="C18" s="43">
        <v>100</v>
      </c>
      <c r="D18" s="29">
        <v>30.34</v>
      </c>
      <c r="E18" s="29">
        <v>0.97</v>
      </c>
      <c r="F18" s="105">
        <v>0.51913163435707543</v>
      </c>
    </row>
    <row r="19" spans="1:6" x14ac:dyDescent="0.25">
      <c r="C19" s="43">
        <v>200</v>
      </c>
      <c r="D19" s="29">
        <v>32.83</v>
      </c>
      <c r="E19" s="29">
        <v>0.87</v>
      </c>
      <c r="F19" s="105">
        <v>0.51051571203267299</v>
      </c>
    </row>
    <row r="20" spans="1:6" x14ac:dyDescent="0.25">
      <c r="C20" s="43"/>
      <c r="D20" s="29"/>
      <c r="E20" s="29"/>
      <c r="F20" s="105"/>
    </row>
    <row r="21" spans="1:6" x14ac:dyDescent="0.25">
      <c r="A21" s="55" t="s">
        <v>423</v>
      </c>
      <c r="B21" s="43" t="s">
        <v>428</v>
      </c>
      <c r="C21" s="43" t="s">
        <v>25</v>
      </c>
      <c r="D21" s="29" t="s">
        <v>21</v>
      </c>
      <c r="E21" s="43" t="s">
        <v>22</v>
      </c>
      <c r="F21" s="28" t="s">
        <v>23</v>
      </c>
    </row>
    <row r="22" spans="1:6" x14ac:dyDescent="0.25">
      <c r="B22" s="17" t="s">
        <v>429</v>
      </c>
      <c r="C22" s="43">
        <v>2</v>
      </c>
      <c r="D22" s="29">
        <v>17.649999999999999</v>
      </c>
      <c r="E22" s="29">
        <v>1.83</v>
      </c>
      <c r="F22" s="105">
        <v>0.56593876818595923</v>
      </c>
    </row>
    <row r="23" spans="1:6" ht="16.5" x14ac:dyDescent="0.3">
      <c r="A23" s="55" t="s">
        <v>289</v>
      </c>
      <c r="B23" s="43" t="s">
        <v>322</v>
      </c>
      <c r="C23" s="43">
        <v>5</v>
      </c>
      <c r="D23" s="29">
        <v>20.8</v>
      </c>
      <c r="E23" s="29">
        <v>1.65</v>
      </c>
      <c r="F23" s="109">
        <v>0.55858042630264293</v>
      </c>
    </row>
    <row r="24" spans="1:6" ht="16.5" x14ac:dyDescent="0.3">
      <c r="A24" s="55" t="s">
        <v>291</v>
      </c>
      <c r="B24" s="43" t="s">
        <v>323</v>
      </c>
      <c r="C24" s="43">
        <v>10</v>
      </c>
      <c r="D24" s="29">
        <v>23.78</v>
      </c>
      <c r="E24" s="29">
        <v>1.65</v>
      </c>
      <c r="F24" s="105">
        <v>0.55745834671233363</v>
      </c>
    </row>
    <row r="25" spans="1:6" x14ac:dyDescent="0.25">
      <c r="A25" s="55" t="s">
        <v>320</v>
      </c>
      <c r="B25" s="43" t="s">
        <v>324</v>
      </c>
      <c r="C25" s="43">
        <v>25</v>
      </c>
      <c r="D25" s="29">
        <v>27.66</v>
      </c>
      <c r="E25" s="29">
        <v>1.58</v>
      </c>
      <c r="F25" s="105">
        <v>0.55235655391593408</v>
      </c>
    </row>
    <row r="26" spans="1:6" x14ac:dyDescent="0.25">
      <c r="A26" s="74"/>
      <c r="B26" s="226"/>
      <c r="C26" s="43">
        <v>50</v>
      </c>
      <c r="D26" s="29">
        <v>30.13</v>
      </c>
      <c r="E26" s="29">
        <v>1.36</v>
      </c>
      <c r="F26" s="105">
        <v>0.54465420473160808</v>
      </c>
    </row>
    <row r="27" spans="1:6" x14ac:dyDescent="0.25">
      <c r="A27" s="74"/>
      <c r="B27" s="226"/>
      <c r="C27" s="43">
        <v>100</v>
      </c>
      <c r="D27" s="29">
        <v>33.04</v>
      </c>
      <c r="E27" s="29">
        <v>1.33</v>
      </c>
      <c r="F27" s="105">
        <v>0.53988429484807876</v>
      </c>
    </row>
    <row r="28" spans="1:6" x14ac:dyDescent="0.25">
      <c r="A28" s="74"/>
      <c r="B28" s="226"/>
      <c r="C28" s="43">
        <v>200</v>
      </c>
      <c r="D28" s="29">
        <v>36.590000000000003</v>
      </c>
      <c r="E28" s="29">
        <v>1.44</v>
      </c>
      <c r="F28" s="105">
        <v>0.53929981853034181</v>
      </c>
    </row>
    <row r="29" spans="1:6" x14ac:dyDescent="0.25">
      <c r="A29" s="74"/>
      <c r="B29" s="226"/>
      <c r="C29" s="55"/>
      <c r="D29" s="85"/>
      <c r="E29" s="85"/>
      <c r="F29" s="86"/>
    </row>
    <row r="30" spans="1:6" x14ac:dyDescent="0.25">
      <c r="C30" s="42" t="s">
        <v>25</v>
      </c>
      <c r="D30" s="18" t="s">
        <v>21</v>
      </c>
      <c r="E30" s="17" t="s">
        <v>22</v>
      </c>
      <c r="F30" s="17" t="s">
        <v>23</v>
      </c>
    </row>
    <row r="31" spans="1:6" x14ac:dyDescent="0.25">
      <c r="A31" s="55" t="s">
        <v>423</v>
      </c>
      <c r="B31" s="17" t="s">
        <v>430</v>
      </c>
      <c r="C31" s="43">
        <v>2</v>
      </c>
      <c r="D31" s="29">
        <v>16.010000000000002</v>
      </c>
      <c r="E31" s="29">
        <v>2.04</v>
      </c>
      <c r="F31" s="105">
        <v>0.58012594958407759</v>
      </c>
    </row>
    <row r="32" spans="1:6" x14ac:dyDescent="0.25">
      <c r="A32" t="s">
        <v>280</v>
      </c>
      <c r="B32" s="17" t="s">
        <v>328</v>
      </c>
      <c r="C32" s="43">
        <v>5</v>
      </c>
      <c r="D32" s="29">
        <v>20.04</v>
      </c>
      <c r="E32" s="29">
        <v>2.06</v>
      </c>
      <c r="F32" s="105">
        <v>0.58242136391490207</v>
      </c>
    </row>
    <row r="33" spans="1:6" x14ac:dyDescent="0.25">
      <c r="A33" t="s">
        <v>282</v>
      </c>
      <c r="B33" s="17">
        <v>85.800799999999995</v>
      </c>
      <c r="C33" s="43">
        <v>10</v>
      </c>
      <c r="D33" s="29">
        <v>23.52</v>
      </c>
      <c r="E33" s="29">
        <v>2.08</v>
      </c>
      <c r="F33" s="105">
        <v>0.58394276173254833</v>
      </c>
    </row>
    <row r="34" spans="1:6" x14ac:dyDescent="0.25">
      <c r="A34" t="s">
        <v>320</v>
      </c>
      <c r="B34" s="17" t="s">
        <v>329</v>
      </c>
      <c r="C34" s="43">
        <v>25</v>
      </c>
      <c r="D34" s="29">
        <v>28.45</v>
      </c>
      <c r="E34" s="29">
        <v>2.08</v>
      </c>
      <c r="F34" s="105">
        <v>0.58519332476028163</v>
      </c>
    </row>
    <row r="35" spans="1:6" x14ac:dyDescent="0.25">
      <c r="C35" s="43">
        <v>50</v>
      </c>
      <c r="D35" s="29">
        <v>32.630000000000003</v>
      </c>
      <c r="E35" s="29">
        <v>2.13</v>
      </c>
      <c r="F35" s="105">
        <v>0.58701792173880696</v>
      </c>
    </row>
    <row r="36" spans="1:6" x14ac:dyDescent="0.25">
      <c r="C36" s="43">
        <v>100</v>
      </c>
      <c r="D36" s="29">
        <v>36.85</v>
      </c>
      <c r="E36" s="29">
        <v>2.14</v>
      </c>
      <c r="F36" s="105">
        <v>0.58800570403797936</v>
      </c>
    </row>
    <row r="37" spans="1:6" x14ac:dyDescent="0.25">
      <c r="C37" s="43">
        <v>200</v>
      </c>
      <c r="D37" s="29">
        <v>40.75</v>
      </c>
      <c r="E37" s="29">
        <v>2.0299999999999998</v>
      </c>
      <c r="F37" s="105">
        <v>0.58583884311148982</v>
      </c>
    </row>
    <row r="38" spans="1:6" x14ac:dyDescent="0.25">
      <c r="C38" s="43"/>
      <c r="D38" s="29"/>
      <c r="E38" s="29"/>
      <c r="F38" s="105"/>
    </row>
    <row r="39" spans="1:6" x14ac:dyDescent="0.25">
      <c r="A39" s="55" t="s">
        <v>423</v>
      </c>
      <c r="B39" s="17" t="s">
        <v>431</v>
      </c>
      <c r="C39" s="17" t="s">
        <v>25</v>
      </c>
      <c r="D39" s="18" t="s">
        <v>21</v>
      </c>
      <c r="E39" s="17" t="s">
        <v>22</v>
      </c>
      <c r="F39" s="42" t="s">
        <v>23</v>
      </c>
    </row>
    <row r="40" spans="1:6" x14ac:dyDescent="0.25">
      <c r="B40" s="43" t="s">
        <v>432</v>
      </c>
      <c r="C40" s="17">
        <v>2</v>
      </c>
      <c r="D40" s="29">
        <v>21.09</v>
      </c>
      <c r="E40" s="29">
        <v>1.1299999999999999</v>
      </c>
      <c r="F40" s="105">
        <v>0.52234172673906332</v>
      </c>
    </row>
    <row r="41" spans="1:6" ht="16.5" x14ac:dyDescent="0.3">
      <c r="A41" s="55" t="s">
        <v>289</v>
      </c>
      <c r="B41" s="43" t="s">
        <v>333</v>
      </c>
      <c r="C41" s="17">
        <v>5</v>
      </c>
      <c r="D41" s="29">
        <v>24.73</v>
      </c>
      <c r="E41" s="29">
        <v>0.99</v>
      </c>
      <c r="F41" s="109">
        <v>0.5147755183419932</v>
      </c>
    </row>
    <row r="42" spans="1:6" ht="16.5" x14ac:dyDescent="0.3">
      <c r="A42" s="55" t="s">
        <v>291</v>
      </c>
      <c r="B42" s="43" t="s">
        <v>334</v>
      </c>
      <c r="C42" s="17">
        <v>10</v>
      </c>
      <c r="D42" s="29">
        <v>27.66</v>
      </c>
      <c r="E42" s="29">
        <v>0.93</v>
      </c>
      <c r="F42" s="105">
        <v>0.50789393017312445</v>
      </c>
    </row>
    <row r="43" spans="1:6" x14ac:dyDescent="0.25">
      <c r="A43" s="55" t="s">
        <v>320</v>
      </c>
      <c r="B43" s="17" t="s">
        <v>335</v>
      </c>
      <c r="C43" s="17">
        <v>25</v>
      </c>
      <c r="D43" s="29">
        <v>31.21</v>
      </c>
      <c r="E43" s="29">
        <v>0.73</v>
      </c>
      <c r="F43" s="105">
        <v>0.49725921880786556</v>
      </c>
    </row>
    <row r="44" spans="1:6" x14ac:dyDescent="0.25">
      <c r="C44" s="17">
        <v>50</v>
      </c>
      <c r="D44" s="30">
        <v>34.53</v>
      </c>
      <c r="E44" s="29">
        <v>0.71</v>
      </c>
      <c r="F44" s="105">
        <v>0.49408666002958973</v>
      </c>
    </row>
    <row r="45" spans="1:6" x14ac:dyDescent="0.25">
      <c r="C45" s="17">
        <v>100</v>
      </c>
      <c r="D45" s="29">
        <v>36.159999999999997</v>
      </c>
      <c r="E45" s="29">
        <v>0.45</v>
      </c>
      <c r="F45" s="105">
        <v>0.48085052417991209</v>
      </c>
    </row>
    <row r="46" spans="1:6" x14ac:dyDescent="0.25">
      <c r="C46" s="17">
        <v>200</v>
      </c>
      <c r="D46" s="29">
        <v>38.909999999999997</v>
      </c>
      <c r="E46" s="29">
        <v>0.37</v>
      </c>
      <c r="F46" s="105">
        <v>0.4753507760899422</v>
      </c>
    </row>
    <row r="47" spans="1:6" x14ac:dyDescent="0.25">
      <c r="C47" s="17"/>
      <c r="D47" s="29"/>
      <c r="E47" s="29"/>
      <c r="F47" s="105"/>
    </row>
    <row r="48" spans="1:6" x14ac:dyDescent="0.25">
      <c r="A48" s="55" t="s">
        <v>423</v>
      </c>
      <c r="B48" s="43" t="s">
        <v>433</v>
      </c>
      <c r="C48" s="17" t="s">
        <v>25</v>
      </c>
      <c r="D48" s="18" t="s">
        <v>21</v>
      </c>
      <c r="E48" s="17" t="s">
        <v>22</v>
      </c>
      <c r="F48" s="42" t="s">
        <v>23</v>
      </c>
    </row>
    <row r="49" spans="1:6" ht="16.5" x14ac:dyDescent="0.3">
      <c r="A49" s="55" t="s">
        <v>289</v>
      </c>
      <c r="B49" s="43" t="s">
        <v>290</v>
      </c>
      <c r="C49" s="17">
        <v>2</v>
      </c>
      <c r="D49" s="29">
        <v>25.13</v>
      </c>
      <c r="E49" s="29">
        <v>2.59</v>
      </c>
      <c r="F49" s="104">
        <v>0.61669634040515875</v>
      </c>
    </row>
    <row r="50" spans="1:6" ht="16.5" x14ac:dyDescent="0.3">
      <c r="A50" s="55" t="s">
        <v>291</v>
      </c>
      <c r="B50" s="43" t="s">
        <v>292</v>
      </c>
      <c r="C50" s="17">
        <v>5</v>
      </c>
      <c r="D50" s="29">
        <v>28.86</v>
      </c>
      <c r="E50" s="29">
        <v>2.44</v>
      </c>
      <c r="F50" s="105">
        <v>0.60559746257128311</v>
      </c>
    </row>
    <row r="51" spans="1:6" x14ac:dyDescent="0.25">
      <c r="A51" s="55" t="s">
        <v>320</v>
      </c>
      <c r="B51" s="17" t="s">
        <v>293</v>
      </c>
      <c r="C51" s="17">
        <v>10</v>
      </c>
      <c r="D51" s="29">
        <v>29.47</v>
      </c>
      <c r="E51" s="29">
        <v>1.7</v>
      </c>
      <c r="F51" s="110">
        <v>0.5798054785509561</v>
      </c>
    </row>
    <row r="52" spans="1:6" x14ac:dyDescent="0.25">
      <c r="C52" s="17">
        <v>25</v>
      </c>
      <c r="D52" s="29">
        <v>33.47</v>
      </c>
      <c r="E52" s="43">
        <v>1.79</v>
      </c>
      <c r="F52" s="105">
        <v>0.57152894264064036</v>
      </c>
    </row>
    <row r="53" spans="1:6" x14ac:dyDescent="0.25">
      <c r="C53" s="17">
        <v>50</v>
      </c>
      <c r="D53" s="43">
        <v>35.19</v>
      </c>
      <c r="E53" s="29">
        <v>1.61</v>
      </c>
      <c r="F53" s="105">
        <v>0.55657720064232019</v>
      </c>
    </row>
    <row r="54" spans="1:6" x14ac:dyDescent="0.25">
      <c r="C54" s="17">
        <v>100</v>
      </c>
      <c r="D54" s="29">
        <v>36.5</v>
      </c>
      <c r="E54" s="29">
        <v>1.38</v>
      </c>
      <c r="F54" s="105">
        <v>0.54070591236497367</v>
      </c>
    </row>
    <row r="55" spans="1:6" x14ac:dyDescent="0.25">
      <c r="C55" s="17">
        <v>200</v>
      </c>
      <c r="D55" s="29">
        <v>37.130000000000003</v>
      </c>
      <c r="E55" s="43">
        <v>1.07</v>
      </c>
      <c r="F55" s="110">
        <v>0.52140056503952537</v>
      </c>
    </row>
    <row r="56" spans="1:6" x14ac:dyDescent="0.25">
      <c r="C56" s="17"/>
      <c r="D56" s="29"/>
      <c r="E56" s="43"/>
      <c r="F56" s="110"/>
    </row>
    <row r="57" spans="1:6" x14ac:dyDescent="0.25">
      <c r="A57" s="55" t="s">
        <v>423</v>
      </c>
      <c r="B57" s="43" t="s">
        <v>434</v>
      </c>
      <c r="C57" s="43" t="s">
        <v>25</v>
      </c>
      <c r="D57" s="29" t="s">
        <v>21</v>
      </c>
      <c r="E57" s="43" t="s">
        <v>22</v>
      </c>
      <c r="F57" s="28" t="s">
        <v>23</v>
      </c>
    </row>
    <row r="58" spans="1:6" ht="16.5" x14ac:dyDescent="0.3">
      <c r="A58" s="55" t="s">
        <v>289</v>
      </c>
      <c r="B58" s="43" t="s">
        <v>318</v>
      </c>
      <c r="C58" s="43">
        <v>2</v>
      </c>
      <c r="D58" s="29">
        <v>22.23</v>
      </c>
      <c r="E58" s="29">
        <v>2.39</v>
      </c>
      <c r="F58" s="105">
        <v>0.60408077637023316</v>
      </c>
    </row>
    <row r="59" spans="1:6" ht="16.5" x14ac:dyDescent="0.3">
      <c r="A59" s="55" t="s">
        <v>291</v>
      </c>
      <c r="B59" s="43" t="s">
        <v>319</v>
      </c>
      <c r="C59" s="43">
        <v>5</v>
      </c>
      <c r="D59" s="29">
        <v>26.5</v>
      </c>
      <c r="E59" s="29">
        <v>2.33</v>
      </c>
      <c r="F59" s="109">
        <v>0.60001065439479773</v>
      </c>
    </row>
    <row r="60" spans="1:6" x14ac:dyDescent="0.25">
      <c r="A60" s="55" t="s">
        <v>320</v>
      </c>
      <c r="B60" s="43" t="s">
        <v>321</v>
      </c>
      <c r="C60" s="43">
        <v>10</v>
      </c>
      <c r="D60" s="29">
        <v>29.48</v>
      </c>
      <c r="E60" s="29">
        <v>2.2400000000000002</v>
      </c>
      <c r="F60" s="105">
        <v>0.59152772737576698</v>
      </c>
    </row>
    <row r="61" spans="1:6" x14ac:dyDescent="0.25">
      <c r="A61" s="74"/>
      <c r="B61" s="226"/>
      <c r="C61" s="43">
        <v>25</v>
      </c>
      <c r="D61" s="29">
        <v>32.44</v>
      </c>
      <c r="E61" s="29">
        <v>1.89</v>
      </c>
      <c r="F61" s="105">
        <v>0.57466714229416738</v>
      </c>
    </row>
    <row r="62" spans="1:6" x14ac:dyDescent="0.25">
      <c r="A62" s="74"/>
      <c r="B62" s="226"/>
      <c r="C62" s="43">
        <v>50</v>
      </c>
      <c r="D62" s="29">
        <v>35.19</v>
      </c>
      <c r="E62" s="29">
        <v>1.88</v>
      </c>
      <c r="F62" s="105">
        <v>0.56651506310598132</v>
      </c>
    </row>
    <row r="63" spans="1:6" x14ac:dyDescent="0.25">
      <c r="A63" s="74"/>
      <c r="B63" s="226"/>
      <c r="C63" s="43">
        <v>100</v>
      </c>
      <c r="D63" s="29">
        <v>36.369999999999997</v>
      </c>
      <c r="E63" s="29">
        <v>1.5</v>
      </c>
      <c r="F63" s="105">
        <v>0.54962790280641971</v>
      </c>
    </row>
    <row r="64" spans="1:6" x14ac:dyDescent="0.25">
      <c r="A64" s="74"/>
      <c r="B64" s="226"/>
      <c r="C64" s="43">
        <v>200</v>
      </c>
      <c r="D64" s="29">
        <v>37.39</v>
      </c>
      <c r="E64" s="29">
        <v>1.23</v>
      </c>
      <c r="F64" s="105">
        <v>0.53306284337685039</v>
      </c>
    </row>
    <row r="65" spans="1:13" x14ac:dyDescent="0.25">
      <c r="A65" s="74"/>
      <c r="B65" s="226"/>
      <c r="C65" s="43"/>
      <c r="D65" s="29"/>
      <c r="E65" s="29"/>
      <c r="F65" s="105"/>
      <c r="H65" s="74"/>
      <c r="I65" s="74"/>
      <c r="J65" s="55"/>
      <c r="K65" s="85"/>
      <c r="L65" s="85"/>
      <c r="M65" s="86"/>
    </row>
    <row r="66" spans="1:13" x14ac:dyDescent="0.25">
      <c r="A66" s="55" t="s">
        <v>423</v>
      </c>
      <c r="B66" s="43" t="s">
        <v>435</v>
      </c>
      <c r="C66" s="43" t="s">
        <v>25</v>
      </c>
      <c r="D66" s="29" t="s">
        <v>21</v>
      </c>
      <c r="E66" s="43" t="s">
        <v>22</v>
      </c>
      <c r="F66" s="28" t="s">
        <v>23</v>
      </c>
    </row>
    <row r="67" spans="1:13" x14ac:dyDescent="0.25">
      <c r="A67" s="55" t="s">
        <v>289</v>
      </c>
      <c r="B67" s="43" t="str">
        <f>[2]Evergreen!G2</f>
        <v>31.4449˚</v>
      </c>
      <c r="C67" s="43">
        <v>2</v>
      </c>
      <c r="D67" s="29">
        <v>21.56</v>
      </c>
      <c r="E67" s="29">
        <v>1.88</v>
      </c>
      <c r="F67" s="105">
        <v>0.57155581947743472</v>
      </c>
    </row>
    <row r="68" spans="1:13" x14ac:dyDescent="0.25">
      <c r="A68" s="55" t="s">
        <v>291</v>
      </c>
      <c r="B68" s="43" t="str">
        <f>[2]Evergreen!I2</f>
        <v>86.9532˚</v>
      </c>
      <c r="C68" s="43">
        <v>5</v>
      </c>
      <c r="D68" s="29">
        <v>27.25</v>
      </c>
      <c r="E68" s="29">
        <v>2.12</v>
      </c>
      <c r="F68" s="109">
        <v>0.58635911397815477</v>
      </c>
    </row>
    <row r="69" spans="1:13" x14ac:dyDescent="0.25">
      <c r="A69" s="55" t="s">
        <v>320</v>
      </c>
      <c r="B69" s="43" t="s">
        <v>317</v>
      </c>
      <c r="C69" s="43">
        <v>10</v>
      </c>
      <c r="D69" s="29">
        <v>30.33</v>
      </c>
      <c r="E69" s="29">
        <v>2.0299999999999998</v>
      </c>
      <c r="F69" s="105">
        <v>0.57981394793611807</v>
      </c>
    </row>
    <row r="70" spans="1:13" x14ac:dyDescent="0.25">
      <c r="A70" s="74"/>
      <c r="B70" s="226"/>
      <c r="C70" s="43">
        <v>25</v>
      </c>
      <c r="D70" s="29">
        <v>32.9</v>
      </c>
      <c r="E70" s="29">
        <v>1.65</v>
      </c>
      <c r="F70" s="105">
        <v>0.55940559387863109</v>
      </c>
    </row>
    <row r="71" spans="1:13" x14ac:dyDescent="0.25">
      <c r="A71" s="74"/>
      <c r="B71" s="226"/>
      <c r="C71" s="43">
        <v>50</v>
      </c>
      <c r="D71" s="29">
        <v>33.46</v>
      </c>
      <c r="E71" s="29">
        <v>1.23</v>
      </c>
      <c r="F71" s="105">
        <v>0.53384308942256109</v>
      </c>
    </row>
    <row r="72" spans="1:13" x14ac:dyDescent="0.25">
      <c r="A72" s="74"/>
      <c r="B72" s="226"/>
      <c r="C72" s="43">
        <v>100</v>
      </c>
      <c r="D72" s="29">
        <v>35.79</v>
      </c>
      <c r="E72" s="29">
        <v>1.3</v>
      </c>
      <c r="F72" s="105">
        <v>0.52173143342519668</v>
      </c>
    </row>
    <row r="73" spans="1:13" x14ac:dyDescent="0.25">
      <c r="A73" s="74"/>
      <c r="B73" s="226"/>
      <c r="C73" s="43">
        <v>200</v>
      </c>
      <c r="D73" s="29">
        <v>33.840000000000003</v>
      </c>
      <c r="E73" s="29">
        <v>0.48</v>
      </c>
      <c r="F73" s="105">
        <v>0.48218585830037597</v>
      </c>
    </row>
    <row r="74" spans="1:13" x14ac:dyDescent="0.25">
      <c r="C74" s="42"/>
      <c r="D74" s="18"/>
      <c r="E74" s="17"/>
      <c r="F74" s="17"/>
    </row>
    <row r="75" spans="1:13" x14ac:dyDescent="0.25">
      <c r="A75" s="55" t="s">
        <v>423</v>
      </c>
      <c r="B75" s="43" t="s">
        <v>436</v>
      </c>
      <c r="C75" s="43" t="s">
        <v>25</v>
      </c>
      <c r="D75" s="29" t="s">
        <v>21</v>
      </c>
      <c r="E75" s="43" t="s">
        <v>22</v>
      </c>
      <c r="F75" s="28" t="s">
        <v>23</v>
      </c>
    </row>
    <row r="76" spans="1:13" ht="16.5" x14ac:dyDescent="0.3">
      <c r="A76" s="55" t="s">
        <v>289</v>
      </c>
      <c r="B76" s="43" t="s">
        <v>311</v>
      </c>
      <c r="C76" s="43">
        <v>2</v>
      </c>
      <c r="D76" s="29">
        <v>17.920000000000002</v>
      </c>
      <c r="E76" s="29">
        <v>2.08</v>
      </c>
      <c r="F76" s="105">
        <v>0.58517806344676815</v>
      </c>
    </row>
    <row r="77" spans="1:13" ht="16.5" x14ac:dyDescent="0.3">
      <c r="A77" s="55" t="s">
        <v>291</v>
      </c>
      <c r="B77" s="43" t="s">
        <v>312</v>
      </c>
      <c r="C77" s="43">
        <v>5</v>
      </c>
      <c r="D77" s="29">
        <v>23.02</v>
      </c>
      <c r="E77" s="29">
        <v>2.2999999999999998</v>
      </c>
      <c r="F77" s="109">
        <v>0.59742182234452146</v>
      </c>
    </row>
    <row r="78" spans="1:13" x14ac:dyDescent="0.25">
      <c r="A78" s="55" t="s">
        <v>320</v>
      </c>
      <c r="B78" s="43" t="s">
        <v>313</v>
      </c>
      <c r="C78" s="43">
        <v>10</v>
      </c>
      <c r="D78" s="29">
        <v>27.72</v>
      </c>
      <c r="E78" s="29">
        <v>2.46</v>
      </c>
      <c r="F78" s="105">
        <v>0.60732933642551756</v>
      </c>
    </row>
    <row r="79" spans="1:13" x14ac:dyDescent="0.25">
      <c r="A79" s="74"/>
      <c r="B79" s="226"/>
      <c r="C79" s="43">
        <v>25</v>
      </c>
      <c r="D79" s="29">
        <v>34</v>
      </c>
      <c r="E79" s="29">
        <v>2.52</v>
      </c>
      <c r="F79" s="105">
        <v>0.61252974785865621</v>
      </c>
    </row>
    <row r="80" spans="1:13" x14ac:dyDescent="0.25">
      <c r="A80" s="74"/>
      <c r="B80" s="226"/>
      <c r="C80" s="43">
        <v>50</v>
      </c>
      <c r="D80" s="29">
        <v>39.94</v>
      </c>
      <c r="E80" s="43">
        <v>2.62</v>
      </c>
      <c r="F80" s="105">
        <v>0.62172070085686437</v>
      </c>
    </row>
    <row r="81" spans="1:6" x14ac:dyDescent="0.25">
      <c r="A81" s="74"/>
      <c r="B81" s="226"/>
      <c r="C81" s="43">
        <v>100</v>
      </c>
      <c r="D81" s="29">
        <v>46.79</v>
      </c>
      <c r="E81" s="29">
        <v>2.9</v>
      </c>
      <c r="F81" s="105">
        <v>0.63094058066056191</v>
      </c>
    </row>
    <row r="82" spans="1:6" x14ac:dyDescent="0.25">
      <c r="A82" s="74"/>
      <c r="B82" s="226"/>
      <c r="C82" s="43">
        <v>200</v>
      </c>
      <c r="D82" s="29">
        <v>54.5</v>
      </c>
      <c r="E82" s="43">
        <v>3.07</v>
      </c>
      <c r="F82" s="105">
        <v>0.64070858144655807</v>
      </c>
    </row>
    <row r="83" spans="1:6" x14ac:dyDescent="0.25">
      <c r="A83" s="74"/>
      <c r="B83" s="226"/>
      <c r="C83" s="43"/>
      <c r="D83" s="29"/>
      <c r="E83" s="29"/>
      <c r="F83" s="105"/>
    </row>
    <row r="84" spans="1:6" x14ac:dyDescent="0.25">
      <c r="A84" s="55" t="s">
        <v>423</v>
      </c>
      <c r="B84" s="43" t="s">
        <v>437</v>
      </c>
      <c r="C84" s="43" t="s">
        <v>25</v>
      </c>
      <c r="D84" s="29" t="s">
        <v>21</v>
      </c>
      <c r="E84" s="43" t="s">
        <v>22</v>
      </c>
      <c r="F84" s="28" t="s">
        <v>23</v>
      </c>
    </row>
    <row r="85" spans="1:6" ht="16.5" x14ac:dyDescent="0.3">
      <c r="A85" s="55" t="s">
        <v>289</v>
      </c>
      <c r="B85" s="43" t="s">
        <v>314</v>
      </c>
      <c r="C85" s="43">
        <v>2</v>
      </c>
      <c r="D85" s="29">
        <v>19.78</v>
      </c>
      <c r="E85" s="29">
        <v>2.5299999999999998</v>
      </c>
      <c r="F85" s="105">
        <v>0.61105989907533231</v>
      </c>
    </row>
    <row r="86" spans="1:6" ht="16.5" x14ac:dyDescent="0.3">
      <c r="A86" s="55" t="s">
        <v>291</v>
      </c>
      <c r="B86" s="43" t="s">
        <v>315</v>
      </c>
      <c r="C86" s="43">
        <v>5</v>
      </c>
      <c r="D86" s="29">
        <v>24.84</v>
      </c>
      <c r="E86" s="29">
        <v>2.59</v>
      </c>
      <c r="F86" s="109">
        <v>0.61511900727095015</v>
      </c>
    </row>
    <row r="87" spans="1:6" x14ac:dyDescent="0.25">
      <c r="A87" s="55" t="s">
        <v>320</v>
      </c>
      <c r="B87" s="43" t="s">
        <v>316</v>
      </c>
      <c r="C87" s="43">
        <v>10</v>
      </c>
      <c r="D87" s="29">
        <v>28.94</v>
      </c>
      <c r="E87" s="29">
        <v>2.5499999999999998</v>
      </c>
      <c r="F87" s="105">
        <v>0.61544093024097735</v>
      </c>
    </row>
    <row r="88" spans="1:6" x14ac:dyDescent="0.25">
      <c r="A88" s="74"/>
      <c r="B88" s="226"/>
      <c r="C88" s="43">
        <v>25</v>
      </c>
      <c r="D88" s="29">
        <v>35.049999999999997</v>
      </c>
      <c r="E88" s="29">
        <v>2.5299999999999998</v>
      </c>
      <c r="F88" s="105">
        <v>0.6162953780487912</v>
      </c>
    </row>
    <row r="89" spans="1:6" x14ac:dyDescent="0.25">
      <c r="A89" s="74"/>
      <c r="B89" s="226"/>
      <c r="C89" s="43">
        <v>50</v>
      </c>
      <c r="D89" s="29">
        <v>40.270000000000003</v>
      </c>
      <c r="E89" s="29">
        <v>2.59</v>
      </c>
      <c r="F89" s="105">
        <v>0.61832649052017152</v>
      </c>
    </row>
    <row r="90" spans="1:6" x14ac:dyDescent="0.25">
      <c r="A90" s="74"/>
      <c r="B90" s="226"/>
      <c r="C90" s="43">
        <v>100</v>
      </c>
      <c r="D90" s="29">
        <v>46.01</v>
      </c>
      <c r="E90" s="29">
        <v>2.75</v>
      </c>
      <c r="F90" s="105">
        <v>0.62098231285711791</v>
      </c>
    </row>
    <row r="91" spans="1:6" x14ac:dyDescent="0.25">
      <c r="A91" s="74"/>
      <c r="B91" s="226"/>
      <c r="C91" s="43">
        <v>200</v>
      </c>
      <c r="D91" s="29">
        <v>49.9</v>
      </c>
      <c r="E91" s="29">
        <v>2.5</v>
      </c>
      <c r="F91" s="105">
        <v>0.61335031935106632</v>
      </c>
    </row>
    <row r="92" spans="1:6" x14ac:dyDescent="0.25">
      <c r="A92" s="74"/>
      <c r="B92" s="226"/>
      <c r="C92" s="43"/>
      <c r="D92" s="29"/>
      <c r="E92" s="29"/>
      <c r="F92" s="105"/>
    </row>
    <row r="93" spans="1:6" x14ac:dyDescent="0.25">
      <c r="A93" s="55" t="s">
        <v>423</v>
      </c>
      <c r="B93" s="17" t="s">
        <v>438</v>
      </c>
      <c r="C93" s="43" t="s">
        <v>25</v>
      </c>
      <c r="D93" s="29" t="s">
        <v>21</v>
      </c>
      <c r="E93" s="43" t="s">
        <v>22</v>
      </c>
      <c r="F93" s="28" t="s">
        <v>23</v>
      </c>
    </row>
    <row r="94" spans="1:6" x14ac:dyDescent="0.25">
      <c r="B94" s="17" t="s">
        <v>439</v>
      </c>
      <c r="C94" s="43">
        <v>2</v>
      </c>
      <c r="D94" s="29">
        <v>16.23</v>
      </c>
      <c r="E94" s="29">
        <v>1.61</v>
      </c>
      <c r="F94" s="105">
        <v>0.55035542181062902</v>
      </c>
    </row>
    <row r="95" spans="1:6" ht="16.5" x14ac:dyDescent="0.3">
      <c r="A95" s="55" t="s">
        <v>289</v>
      </c>
      <c r="B95" s="43" t="s">
        <v>308</v>
      </c>
      <c r="C95" s="43">
        <v>5</v>
      </c>
      <c r="D95" s="29">
        <v>19.829999999999998</v>
      </c>
      <c r="E95" s="29">
        <v>1.63</v>
      </c>
      <c r="F95" s="109">
        <v>0.55423778738973384</v>
      </c>
    </row>
    <row r="96" spans="1:6" ht="16.5" x14ac:dyDescent="0.3">
      <c r="A96" s="55" t="s">
        <v>291</v>
      </c>
      <c r="B96" s="43" t="s">
        <v>309</v>
      </c>
      <c r="C96" s="43">
        <v>10</v>
      </c>
      <c r="D96" s="29">
        <v>23.37</v>
      </c>
      <c r="E96" s="29">
        <v>1.7</v>
      </c>
      <c r="F96" s="105">
        <v>0.56031620779420388</v>
      </c>
    </row>
    <row r="97" spans="1:6" x14ac:dyDescent="0.25">
      <c r="A97" s="55" t="s">
        <v>320</v>
      </c>
      <c r="B97" s="17" t="s">
        <v>310</v>
      </c>
      <c r="C97" s="43">
        <v>25</v>
      </c>
      <c r="D97" s="29">
        <v>29.37</v>
      </c>
      <c r="E97" s="43">
        <v>1.91</v>
      </c>
      <c r="F97" s="105">
        <v>0.57313255871325652</v>
      </c>
    </row>
    <row r="98" spans="1:6" x14ac:dyDescent="0.25">
      <c r="C98" s="43">
        <v>50</v>
      </c>
      <c r="D98" s="29">
        <v>33.97</v>
      </c>
      <c r="E98" s="29">
        <v>1.93</v>
      </c>
      <c r="F98" s="105">
        <v>0.57779257059727662</v>
      </c>
    </row>
    <row r="99" spans="1:6" x14ac:dyDescent="0.25">
      <c r="C99" s="43">
        <v>100</v>
      </c>
      <c r="D99" s="29">
        <v>39.54</v>
      </c>
      <c r="E99" s="29">
        <v>2.04</v>
      </c>
      <c r="F99" s="105">
        <v>0.58598650125706386</v>
      </c>
    </row>
    <row r="100" spans="1:6" x14ac:dyDescent="0.25">
      <c r="C100" s="43">
        <v>200</v>
      </c>
      <c r="D100" s="29">
        <v>46.43</v>
      </c>
      <c r="E100" s="29">
        <v>2.29</v>
      </c>
      <c r="F100" s="105">
        <v>0.59636026077123716</v>
      </c>
    </row>
    <row r="101" spans="1:6" x14ac:dyDescent="0.25">
      <c r="A101" s="74"/>
      <c r="B101" s="226"/>
      <c r="C101" s="43"/>
      <c r="D101" s="29"/>
      <c r="E101" s="29"/>
      <c r="F101" s="105"/>
    </row>
    <row r="102" spans="1:6" x14ac:dyDescent="0.25">
      <c r="A102" s="55" t="s">
        <v>423</v>
      </c>
      <c r="B102" s="17" t="s">
        <v>440</v>
      </c>
      <c r="C102" s="17" t="s">
        <v>25</v>
      </c>
      <c r="D102" s="18" t="s">
        <v>21</v>
      </c>
      <c r="E102" s="17" t="s">
        <v>22</v>
      </c>
      <c r="F102" s="42" t="s">
        <v>23</v>
      </c>
    </row>
    <row r="103" spans="1:6" x14ac:dyDescent="0.25">
      <c r="B103" s="17" t="s">
        <v>441</v>
      </c>
      <c r="C103" s="17">
        <v>2</v>
      </c>
      <c r="D103" s="29">
        <v>16.579999999999998</v>
      </c>
      <c r="E103" s="18">
        <v>1.81</v>
      </c>
      <c r="F103" s="110">
        <v>0.56394252217250795</v>
      </c>
    </row>
    <row r="104" spans="1:6" x14ac:dyDescent="0.25">
      <c r="A104" t="s">
        <v>280</v>
      </c>
      <c r="B104" s="17" t="str">
        <f>[2]Huntsville!G2</f>
        <v>34.6439˚</v>
      </c>
      <c r="C104" s="17">
        <v>5</v>
      </c>
      <c r="D104" s="29">
        <v>21.12</v>
      </c>
      <c r="E104" s="29">
        <v>1.88</v>
      </c>
      <c r="F104" s="110">
        <v>0.57258520084855247</v>
      </c>
    </row>
    <row r="105" spans="1:6" x14ac:dyDescent="0.25">
      <c r="A105" t="s">
        <v>282</v>
      </c>
      <c r="B105" s="17" t="str">
        <f>[2]Huntsville!I2</f>
        <v>86.7861˚</v>
      </c>
      <c r="C105" s="17">
        <v>10</v>
      </c>
      <c r="D105" s="43">
        <v>25.79</v>
      </c>
      <c r="E105" s="29">
        <v>2.09</v>
      </c>
      <c r="F105" s="110">
        <v>0.58438911382854697</v>
      </c>
    </row>
    <row r="106" spans="1:6" x14ac:dyDescent="0.25">
      <c r="A106" s="55" t="s">
        <v>320</v>
      </c>
      <c r="B106" s="17" t="s">
        <v>288</v>
      </c>
      <c r="C106" s="17">
        <v>25</v>
      </c>
      <c r="D106" s="29">
        <v>32.81</v>
      </c>
      <c r="E106" s="29">
        <v>2.34</v>
      </c>
      <c r="F106" s="110">
        <v>0.59807010038416497</v>
      </c>
    </row>
    <row r="107" spans="1:6" x14ac:dyDescent="0.25">
      <c r="C107" s="17">
        <v>50</v>
      </c>
      <c r="D107" s="43">
        <v>37.67</v>
      </c>
      <c r="E107" s="29">
        <v>2.3199999999999998</v>
      </c>
      <c r="F107" s="110">
        <v>0.60042444721594579</v>
      </c>
    </row>
    <row r="108" spans="1:6" x14ac:dyDescent="0.25">
      <c r="C108" s="17">
        <v>100</v>
      </c>
      <c r="D108" s="43">
        <v>42.93</v>
      </c>
      <c r="E108" s="43">
        <v>2.34</v>
      </c>
      <c r="F108" s="110">
        <v>0.60316067208807433</v>
      </c>
    </row>
    <row r="109" spans="1:6" x14ac:dyDescent="0.25">
      <c r="C109" s="17">
        <v>200</v>
      </c>
      <c r="D109" s="29">
        <v>51.42</v>
      </c>
      <c r="E109" s="29">
        <v>2.81</v>
      </c>
      <c r="F109" s="110">
        <v>0.619228810590846</v>
      </c>
    </row>
    <row r="110" spans="1:6" x14ac:dyDescent="0.25">
      <c r="A110" s="74"/>
      <c r="B110" s="226"/>
      <c r="C110" s="43"/>
      <c r="D110" s="29"/>
      <c r="E110" s="29"/>
      <c r="F110" s="105"/>
    </row>
    <row r="111" spans="1:6" x14ac:dyDescent="0.25">
      <c r="A111" s="55" t="s">
        <v>423</v>
      </c>
      <c r="B111" s="43" t="s">
        <v>442</v>
      </c>
      <c r="C111" s="43" t="s">
        <v>25</v>
      </c>
      <c r="D111" s="29" t="s">
        <v>21</v>
      </c>
      <c r="E111" s="43" t="s">
        <v>22</v>
      </c>
      <c r="F111" s="28" t="s">
        <v>23</v>
      </c>
    </row>
    <row r="112" spans="1:6" ht="16.5" x14ac:dyDescent="0.3">
      <c r="A112" s="55" t="s">
        <v>289</v>
      </c>
      <c r="B112" s="43" t="s">
        <v>330</v>
      </c>
      <c r="C112" s="43">
        <v>2</v>
      </c>
      <c r="D112" s="29">
        <v>20.71</v>
      </c>
      <c r="E112" s="43">
        <v>1.64</v>
      </c>
      <c r="F112" s="105">
        <v>0.5529817239093574</v>
      </c>
    </row>
    <row r="113" spans="1:6" ht="16.5" x14ac:dyDescent="0.3">
      <c r="A113" s="55" t="s">
        <v>291</v>
      </c>
      <c r="B113" s="43" t="s">
        <v>331</v>
      </c>
      <c r="C113" s="43">
        <v>5</v>
      </c>
      <c r="D113" s="29">
        <v>24.6</v>
      </c>
      <c r="E113" s="43">
        <v>1.54</v>
      </c>
      <c r="F113" s="105">
        <v>0.5492247793947137</v>
      </c>
    </row>
    <row r="114" spans="1:6" x14ac:dyDescent="0.25">
      <c r="A114" s="55" t="s">
        <v>320</v>
      </c>
      <c r="B114" s="43" t="s">
        <v>332</v>
      </c>
      <c r="C114" s="43">
        <v>10</v>
      </c>
      <c r="D114" s="29">
        <v>27.21</v>
      </c>
      <c r="E114" s="29">
        <v>1.41</v>
      </c>
      <c r="F114" s="105">
        <v>0.53876128514100008</v>
      </c>
    </row>
    <row r="115" spans="1:6" x14ac:dyDescent="0.25">
      <c r="A115" s="74"/>
      <c r="B115" s="226"/>
      <c r="C115" s="43">
        <v>25</v>
      </c>
      <c r="D115" s="29">
        <v>30.22</v>
      </c>
      <c r="E115" s="29">
        <v>1.1599999999999999</v>
      </c>
      <c r="F115" s="105">
        <v>0.52192974029764172</v>
      </c>
    </row>
    <row r="116" spans="1:6" x14ac:dyDescent="0.25">
      <c r="A116" s="74"/>
      <c r="B116" s="226"/>
      <c r="C116" s="43">
        <v>50</v>
      </c>
      <c r="D116" s="29">
        <v>31.97</v>
      </c>
      <c r="E116" s="29">
        <v>0.94</v>
      </c>
      <c r="F116" s="105">
        <v>0.50503406513953042</v>
      </c>
    </row>
    <row r="117" spans="1:6" x14ac:dyDescent="0.25">
      <c r="A117" s="74"/>
      <c r="B117" s="226"/>
      <c r="C117" s="43">
        <v>100</v>
      </c>
      <c r="D117" s="29">
        <v>32.200000000000003</v>
      </c>
      <c r="E117" s="29">
        <v>0.36</v>
      </c>
      <c r="F117" s="105">
        <v>0.47930477440453628</v>
      </c>
    </row>
    <row r="118" spans="1:6" x14ac:dyDescent="0.25">
      <c r="A118" s="74"/>
      <c r="B118" s="226"/>
      <c r="C118" s="43">
        <v>200</v>
      </c>
      <c r="D118" s="29">
        <v>34.03</v>
      </c>
      <c r="E118" s="29">
        <v>0.26</v>
      </c>
      <c r="F118" s="110">
        <v>0.46596506301354673</v>
      </c>
    </row>
    <row r="119" spans="1:6" x14ac:dyDescent="0.25">
      <c r="A119" s="74"/>
      <c r="B119" s="226"/>
      <c r="C119" s="43"/>
      <c r="D119" s="29"/>
      <c r="E119" s="29"/>
      <c r="F119" s="105"/>
    </row>
    <row r="120" spans="1:6" x14ac:dyDescent="0.25">
      <c r="A120" s="55" t="s">
        <v>423</v>
      </c>
      <c r="B120" s="17" t="s">
        <v>443</v>
      </c>
      <c r="C120" s="42" t="s">
        <v>25</v>
      </c>
      <c r="D120" s="18" t="s">
        <v>21</v>
      </c>
      <c r="E120" s="17" t="s">
        <v>22</v>
      </c>
      <c r="F120" s="17" t="s">
        <v>23</v>
      </c>
    </row>
    <row r="121" spans="1:6" x14ac:dyDescent="0.25">
      <c r="A121" t="s">
        <v>289</v>
      </c>
      <c r="B121" s="17" t="s">
        <v>336</v>
      </c>
      <c r="C121" s="17">
        <v>2</v>
      </c>
      <c r="D121" s="18">
        <v>17.399999999999999</v>
      </c>
      <c r="E121" s="18">
        <v>1.57</v>
      </c>
      <c r="F121" s="104">
        <v>0.55326249074846956</v>
      </c>
    </row>
    <row r="122" spans="1:6" x14ac:dyDescent="0.25">
      <c r="A122" t="s">
        <v>291</v>
      </c>
      <c r="B122" s="17" t="s">
        <v>337</v>
      </c>
      <c r="C122" s="17">
        <v>5</v>
      </c>
      <c r="D122" s="18">
        <v>20.83</v>
      </c>
      <c r="E122" s="18">
        <v>1.56</v>
      </c>
      <c r="F122" s="104">
        <v>0.55232522851697641</v>
      </c>
    </row>
    <row r="123" spans="1:6" x14ac:dyDescent="0.25">
      <c r="A123" t="s">
        <v>320</v>
      </c>
      <c r="B123" s="17" t="s">
        <v>338</v>
      </c>
      <c r="C123" s="17">
        <v>10</v>
      </c>
      <c r="D123" s="18">
        <v>23.27</v>
      </c>
      <c r="E123" s="18">
        <v>1.5</v>
      </c>
      <c r="F123" s="104">
        <v>0.54749859372337017</v>
      </c>
    </row>
    <row r="124" spans="1:6" x14ac:dyDescent="0.25">
      <c r="C124" s="17">
        <v>25</v>
      </c>
      <c r="D124" s="18">
        <v>26.88</v>
      </c>
      <c r="E124" s="18">
        <v>1.5</v>
      </c>
      <c r="F124" s="104">
        <v>0.54563469824204303</v>
      </c>
    </row>
    <row r="125" spans="1:6" x14ac:dyDescent="0.25">
      <c r="C125" s="17">
        <v>50</v>
      </c>
      <c r="D125" s="18">
        <v>29.15</v>
      </c>
      <c r="E125" s="18">
        <v>1.37</v>
      </c>
      <c r="F125" s="104">
        <v>0.54123779386194848</v>
      </c>
    </row>
    <row r="126" spans="1:6" x14ac:dyDescent="0.25">
      <c r="C126" s="17">
        <v>100</v>
      </c>
      <c r="D126" s="18">
        <v>31.36</v>
      </c>
      <c r="E126" s="18">
        <v>1.27</v>
      </c>
      <c r="F126" s="104">
        <v>0.53703331197050996</v>
      </c>
    </row>
    <row r="127" spans="1:6" x14ac:dyDescent="0.25">
      <c r="C127" s="17">
        <v>200</v>
      </c>
      <c r="D127" s="18">
        <v>34.450000000000003</v>
      </c>
      <c r="E127" s="18">
        <v>1.46</v>
      </c>
      <c r="F127" s="104">
        <v>0.53912745590807876</v>
      </c>
    </row>
    <row r="128" spans="1:6" x14ac:dyDescent="0.25">
      <c r="A128" s="74"/>
      <c r="B128" s="226"/>
      <c r="C128" s="43"/>
      <c r="D128" s="29"/>
      <c r="E128" s="29"/>
      <c r="F128" s="105"/>
    </row>
    <row r="129" spans="1:6" x14ac:dyDescent="0.25">
      <c r="A129" s="55" t="s">
        <v>423</v>
      </c>
      <c r="B129" s="43" t="s">
        <v>444</v>
      </c>
      <c r="C129" s="17" t="s">
        <v>25</v>
      </c>
      <c r="D129" s="18" t="s">
        <v>21</v>
      </c>
      <c r="E129" s="17" t="s">
        <v>22</v>
      </c>
      <c r="F129" s="42" t="s">
        <v>23</v>
      </c>
    </row>
    <row r="130" spans="1:6" ht="16.5" x14ac:dyDescent="0.3">
      <c r="A130" s="55" t="s">
        <v>289</v>
      </c>
      <c r="B130" s="43" t="s">
        <v>297</v>
      </c>
      <c r="C130" s="17">
        <v>2</v>
      </c>
      <c r="D130" s="43">
        <v>23.56</v>
      </c>
      <c r="E130" s="18">
        <v>1.72</v>
      </c>
      <c r="F130" s="110">
        <v>0.55911963751437421</v>
      </c>
    </row>
    <row r="131" spans="1:6" ht="16.5" x14ac:dyDescent="0.3">
      <c r="A131" s="55" t="s">
        <v>291</v>
      </c>
      <c r="B131" s="43" t="s">
        <v>298</v>
      </c>
      <c r="C131" s="17">
        <v>5</v>
      </c>
      <c r="D131" s="22">
        <v>27.54</v>
      </c>
      <c r="E131" s="29">
        <v>1.6</v>
      </c>
      <c r="F131" s="110">
        <v>0.55132769733658604</v>
      </c>
    </row>
    <row r="132" spans="1:6" x14ac:dyDescent="0.25">
      <c r="A132" s="55" t="s">
        <v>320</v>
      </c>
      <c r="B132" s="17" t="s">
        <v>299</v>
      </c>
      <c r="C132" s="17">
        <v>10</v>
      </c>
      <c r="D132" s="29">
        <v>30.14</v>
      </c>
      <c r="E132" s="29">
        <v>1.37</v>
      </c>
      <c r="F132" s="110">
        <v>0.53948408285339755</v>
      </c>
    </row>
    <row r="133" spans="1:6" x14ac:dyDescent="0.25">
      <c r="C133" s="17">
        <v>25</v>
      </c>
      <c r="D133" s="29">
        <v>34.270000000000003</v>
      </c>
      <c r="E133" s="29">
        <v>1.24</v>
      </c>
      <c r="F133" s="110">
        <v>0.52940003416061032</v>
      </c>
    </row>
    <row r="134" spans="1:6" x14ac:dyDescent="0.25">
      <c r="C134" s="17">
        <v>50</v>
      </c>
      <c r="D134" s="29">
        <v>36.68</v>
      </c>
      <c r="E134" s="29">
        <v>1.01</v>
      </c>
      <c r="F134" s="110">
        <v>0.51749217968907557</v>
      </c>
    </row>
    <row r="135" spans="1:6" x14ac:dyDescent="0.25">
      <c r="C135" s="17">
        <v>100</v>
      </c>
      <c r="D135" s="29">
        <v>39.47</v>
      </c>
      <c r="E135" s="43">
        <v>0.89</v>
      </c>
      <c r="F135" s="110">
        <v>0.50920587554897223</v>
      </c>
    </row>
    <row r="136" spans="1:6" x14ac:dyDescent="0.25">
      <c r="C136" s="17">
        <v>200</v>
      </c>
      <c r="D136" s="46">
        <v>43.466999999999999</v>
      </c>
      <c r="E136" s="43">
        <v>0.93</v>
      </c>
      <c r="F136" s="304">
        <v>0.50791624700419169</v>
      </c>
    </row>
    <row r="137" spans="1:6" x14ac:dyDescent="0.25">
      <c r="C137" s="17"/>
      <c r="D137" s="46"/>
      <c r="E137" s="43"/>
      <c r="F137" s="304"/>
    </row>
    <row r="138" spans="1:6" x14ac:dyDescent="0.25">
      <c r="A138" s="74"/>
      <c r="B138" s="226"/>
      <c r="C138" s="43"/>
      <c r="D138" s="29"/>
      <c r="E138" s="29"/>
      <c r="F138" s="105"/>
    </row>
    <row r="139" spans="1:6" x14ac:dyDescent="0.25">
      <c r="C139" s="42" t="s">
        <v>25</v>
      </c>
      <c r="D139" s="18" t="s">
        <v>21</v>
      </c>
      <c r="E139" s="17" t="s">
        <v>22</v>
      </c>
      <c r="F139" s="17" t="s">
        <v>23</v>
      </c>
    </row>
    <row r="140" spans="1:6" x14ac:dyDescent="0.25">
      <c r="A140" s="55" t="s">
        <v>423</v>
      </c>
      <c r="B140" s="17" t="s">
        <v>445</v>
      </c>
      <c r="C140" s="43">
        <v>2</v>
      </c>
      <c r="D140" s="29">
        <v>19.07</v>
      </c>
      <c r="E140" s="43">
        <v>1.96</v>
      </c>
      <c r="F140" s="110">
        <v>0.57744117603994316</v>
      </c>
    </row>
    <row r="141" spans="1:6" x14ac:dyDescent="0.25">
      <c r="B141" s="17" t="s">
        <v>446</v>
      </c>
      <c r="C141" s="43">
        <v>5</v>
      </c>
      <c r="D141" s="29">
        <v>22.79</v>
      </c>
      <c r="E141" s="22">
        <v>1.95</v>
      </c>
      <c r="F141" s="105">
        <v>0.5766955968173556</v>
      </c>
    </row>
    <row r="142" spans="1:6" x14ac:dyDescent="0.25">
      <c r="A142" t="s">
        <v>280</v>
      </c>
      <c r="B142" s="17" t="s">
        <v>325</v>
      </c>
      <c r="C142" s="43">
        <v>10</v>
      </c>
      <c r="D142" s="22">
        <v>25.44</v>
      </c>
      <c r="E142" s="29">
        <v>1.87</v>
      </c>
      <c r="F142" s="105">
        <v>0.57129184777803022</v>
      </c>
    </row>
    <row r="143" spans="1:6" x14ac:dyDescent="0.25">
      <c r="A143" t="s">
        <v>282</v>
      </c>
      <c r="B143" s="17" t="s">
        <v>326</v>
      </c>
      <c r="C143" s="43">
        <v>25</v>
      </c>
      <c r="D143" s="29">
        <v>28.68</v>
      </c>
      <c r="E143" s="43">
        <v>1.74</v>
      </c>
      <c r="F143" s="105">
        <v>0.56171138169834389</v>
      </c>
    </row>
    <row r="144" spans="1:6" x14ac:dyDescent="0.25">
      <c r="A144" t="s">
        <v>320</v>
      </c>
      <c r="B144" s="17" t="s">
        <v>327</v>
      </c>
      <c r="C144" s="43">
        <v>50</v>
      </c>
      <c r="D144" s="29">
        <v>31.17</v>
      </c>
      <c r="E144" s="29">
        <v>1.75</v>
      </c>
      <c r="F144" s="105">
        <v>0.55504256399314267</v>
      </c>
    </row>
    <row r="145" spans="1:6" x14ac:dyDescent="0.25">
      <c r="C145" s="43">
        <v>100</v>
      </c>
      <c r="D145" s="29">
        <v>31.96</v>
      </c>
      <c r="E145" s="29">
        <v>1.27</v>
      </c>
      <c r="F145" s="105">
        <v>0.53813714704803817</v>
      </c>
    </row>
    <row r="146" spans="1:6" x14ac:dyDescent="0.25">
      <c r="C146" s="43">
        <v>200</v>
      </c>
      <c r="D146" s="29">
        <v>33.75</v>
      </c>
      <c r="E146" s="29">
        <v>1.1599999999999999</v>
      </c>
      <c r="F146" s="105">
        <v>0.52899488261824912</v>
      </c>
    </row>
    <row r="147" spans="1:6" x14ac:dyDescent="0.25">
      <c r="A147" s="74"/>
      <c r="B147" s="226"/>
      <c r="C147" s="43"/>
      <c r="D147" s="29"/>
      <c r="E147" s="29"/>
      <c r="F147" s="105"/>
    </row>
    <row r="148" spans="1:6" x14ac:dyDescent="0.25">
      <c r="A148" s="55" t="s">
        <v>423</v>
      </c>
      <c r="B148" s="43" t="s">
        <v>447</v>
      </c>
      <c r="C148" s="17" t="s">
        <v>25</v>
      </c>
      <c r="D148" s="18" t="s">
        <v>21</v>
      </c>
      <c r="E148" s="17" t="s">
        <v>22</v>
      </c>
      <c r="F148" s="104" t="s">
        <v>23</v>
      </c>
    </row>
    <row r="149" spans="1:6" x14ac:dyDescent="0.25">
      <c r="B149" s="17" t="s">
        <v>448</v>
      </c>
      <c r="C149" s="17">
        <v>2</v>
      </c>
      <c r="D149" s="18">
        <v>22.51</v>
      </c>
      <c r="E149" s="29">
        <v>1.73</v>
      </c>
      <c r="F149" s="105">
        <v>0.55855604661815583</v>
      </c>
    </row>
    <row r="150" spans="1:6" ht="16.5" x14ac:dyDescent="0.3">
      <c r="A150" t="s">
        <v>280</v>
      </c>
      <c r="B150" s="43" t="s">
        <v>374</v>
      </c>
      <c r="C150" s="17">
        <v>5</v>
      </c>
      <c r="D150" s="29">
        <v>25.8</v>
      </c>
      <c r="E150" s="29">
        <v>1.49</v>
      </c>
      <c r="F150" s="105">
        <v>0.54614591070044283</v>
      </c>
    </row>
    <row r="151" spans="1:6" x14ac:dyDescent="0.25">
      <c r="A151" t="s">
        <v>282</v>
      </c>
      <c r="B151" s="43">
        <v>88.025800000000004</v>
      </c>
      <c r="C151" s="17">
        <v>10</v>
      </c>
      <c r="D151" s="43">
        <v>28.14</v>
      </c>
      <c r="E151" s="29">
        <v>1.23</v>
      </c>
      <c r="F151" s="105">
        <v>0.5336954584550534</v>
      </c>
    </row>
    <row r="152" spans="1:6" x14ac:dyDescent="0.25">
      <c r="A152" t="s">
        <v>320</v>
      </c>
      <c r="B152" s="17" t="s">
        <v>375</v>
      </c>
      <c r="C152" s="17">
        <v>25</v>
      </c>
      <c r="D152" s="29">
        <v>31.17</v>
      </c>
      <c r="E152" s="43">
        <v>0.97</v>
      </c>
      <c r="F152" s="105">
        <v>0.51585709840478999</v>
      </c>
    </row>
    <row r="153" spans="1:6" x14ac:dyDescent="0.25">
      <c r="C153" s="17">
        <v>50</v>
      </c>
      <c r="D153" s="43">
        <v>33.36</v>
      </c>
      <c r="E153" s="29">
        <v>0.8</v>
      </c>
      <c r="F153" s="105">
        <v>0.50212175864223141</v>
      </c>
    </row>
    <row r="154" spans="1:6" x14ac:dyDescent="0.25">
      <c r="C154" s="17">
        <v>100</v>
      </c>
      <c r="D154" s="43">
        <v>36.53</v>
      </c>
      <c r="E154" s="43">
        <v>0.87</v>
      </c>
      <c r="F154" s="105">
        <v>0.49543140246515693</v>
      </c>
    </row>
    <row r="155" spans="1:6" x14ac:dyDescent="0.25">
      <c r="C155" s="17">
        <v>200</v>
      </c>
      <c r="D155" s="43">
        <v>36.08</v>
      </c>
      <c r="E155" s="43">
        <v>0.21</v>
      </c>
      <c r="F155" s="105">
        <v>0.46668204324168117</v>
      </c>
    </row>
    <row r="156" spans="1:6" x14ac:dyDescent="0.25">
      <c r="A156" s="74"/>
      <c r="B156" s="226"/>
      <c r="C156" s="43"/>
      <c r="D156" s="29"/>
      <c r="E156" s="29"/>
      <c r="F156" s="105"/>
    </row>
    <row r="157" spans="1:6" x14ac:dyDescent="0.25">
      <c r="A157" s="55" t="s">
        <v>423</v>
      </c>
      <c r="B157" s="17" t="s">
        <v>449</v>
      </c>
      <c r="C157" s="43" t="s">
        <v>25</v>
      </c>
      <c r="D157" s="29" t="s">
        <v>21</v>
      </c>
      <c r="E157" s="43" t="s">
        <v>22</v>
      </c>
      <c r="F157" s="28" t="s">
        <v>23</v>
      </c>
    </row>
    <row r="158" spans="1:6" x14ac:dyDescent="0.25">
      <c r="A158" s="55" t="s">
        <v>289</v>
      </c>
      <c r="B158" s="17" t="str">
        <f>[2]Oneonta!G2</f>
        <v>33.9478˚</v>
      </c>
      <c r="C158" s="43">
        <v>2</v>
      </c>
      <c r="D158" s="29">
        <v>18.29</v>
      </c>
      <c r="E158" s="29">
        <v>2</v>
      </c>
      <c r="F158" s="105">
        <v>0.57703720611732479</v>
      </c>
    </row>
    <row r="159" spans="1:6" x14ac:dyDescent="0.25">
      <c r="A159" s="55" t="s">
        <v>291</v>
      </c>
      <c r="B159" s="17" t="str">
        <f>[2]Oneonta!I2</f>
        <v>86.4692˚</v>
      </c>
      <c r="C159" s="43">
        <v>5</v>
      </c>
      <c r="D159" s="29">
        <v>22.08</v>
      </c>
      <c r="E159" s="29">
        <v>1.97</v>
      </c>
      <c r="F159" s="105">
        <v>0.577116935483871</v>
      </c>
    </row>
    <row r="160" spans="1:6" x14ac:dyDescent="0.25">
      <c r="A160" s="55" t="s">
        <v>320</v>
      </c>
      <c r="B160" s="43" t="s">
        <v>307</v>
      </c>
      <c r="C160" s="43">
        <v>10</v>
      </c>
      <c r="D160" s="29">
        <v>25.49</v>
      </c>
      <c r="E160" s="43">
        <v>1.99</v>
      </c>
      <c r="F160" s="105">
        <v>0.57762786346353567</v>
      </c>
    </row>
    <row r="161" spans="1:6" x14ac:dyDescent="0.25">
      <c r="C161" s="43">
        <v>25</v>
      </c>
      <c r="D161" s="29">
        <v>31</v>
      </c>
      <c r="E161" s="43">
        <v>2.08</v>
      </c>
      <c r="F161" s="105">
        <v>0.58316513115913948</v>
      </c>
    </row>
    <row r="162" spans="1:6" x14ac:dyDescent="0.25">
      <c r="C162" s="43">
        <v>50</v>
      </c>
      <c r="D162" s="29">
        <v>35.67</v>
      </c>
      <c r="E162" s="29">
        <v>2.1800000000000002</v>
      </c>
      <c r="F162" s="105">
        <v>0.58762286258801111</v>
      </c>
    </row>
    <row r="163" spans="1:6" x14ac:dyDescent="0.25">
      <c r="C163" s="43">
        <v>100</v>
      </c>
      <c r="D163" s="29">
        <v>40.74</v>
      </c>
      <c r="E163" s="29">
        <v>2.2400000000000002</v>
      </c>
      <c r="F163" s="105">
        <v>0.59277443754086778</v>
      </c>
    </row>
    <row r="164" spans="1:6" x14ac:dyDescent="0.25">
      <c r="C164" s="43">
        <v>200</v>
      </c>
      <c r="D164" s="29">
        <v>45.11</v>
      </c>
      <c r="E164" s="43">
        <v>2.14</v>
      </c>
      <c r="F164" s="105">
        <v>0.59160762328680294</v>
      </c>
    </row>
    <row r="165" spans="1:6" x14ac:dyDescent="0.25">
      <c r="A165" s="74"/>
      <c r="B165" s="226"/>
      <c r="C165" s="43"/>
      <c r="D165" s="29"/>
      <c r="E165" s="29"/>
      <c r="F165" s="105"/>
    </row>
    <row r="166" spans="1:6" x14ac:dyDescent="0.25">
      <c r="A166" s="55" t="s">
        <v>423</v>
      </c>
      <c r="B166" s="17" t="s">
        <v>450</v>
      </c>
      <c r="C166" s="43" t="s">
        <v>25</v>
      </c>
      <c r="D166" s="29" t="s">
        <v>21</v>
      </c>
      <c r="E166" s="43" t="s">
        <v>22</v>
      </c>
      <c r="F166" s="28" t="s">
        <v>23</v>
      </c>
    </row>
    <row r="167" spans="1:6" ht="16.5" x14ac:dyDescent="0.3">
      <c r="A167" s="55" t="s">
        <v>289</v>
      </c>
      <c r="B167" s="43" t="s">
        <v>301</v>
      </c>
      <c r="C167" s="43">
        <v>2</v>
      </c>
      <c r="D167" s="29">
        <v>18.22</v>
      </c>
      <c r="E167" s="29">
        <v>1.91</v>
      </c>
      <c r="F167" s="110">
        <v>0.57631788481225432</v>
      </c>
    </row>
    <row r="168" spans="1:6" ht="16.5" x14ac:dyDescent="0.3">
      <c r="A168" s="55" t="s">
        <v>291</v>
      </c>
      <c r="B168" s="43" t="s">
        <v>302</v>
      </c>
      <c r="C168" s="43">
        <v>5</v>
      </c>
      <c r="D168" s="29">
        <v>22.61</v>
      </c>
      <c r="E168" s="29">
        <v>2.06</v>
      </c>
      <c r="F168" s="110">
        <v>0.58262900525638217</v>
      </c>
    </row>
    <row r="169" spans="1:6" x14ac:dyDescent="0.25">
      <c r="A169" s="55" t="s">
        <v>320</v>
      </c>
      <c r="B169" s="17" t="s">
        <v>303</v>
      </c>
      <c r="C169" s="43">
        <v>10</v>
      </c>
      <c r="D169" s="29">
        <v>26.22</v>
      </c>
      <c r="E169" s="29">
        <v>2.15</v>
      </c>
      <c r="F169" s="110">
        <v>0.58720471303979516</v>
      </c>
    </row>
    <row r="170" spans="1:6" x14ac:dyDescent="0.25">
      <c r="C170" s="43">
        <v>25</v>
      </c>
      <c r="D170" s="29">
        <v>30.49</v>
      </c>
      <c r="E170" s="29">
        <v>2.13</v>
      </c>
      <c r="F170" s="110">
        <v>0.58617485166916872</v>
      </c>
    </row>
    <row r="171" spans="1:6" x14ac:dyDescent="0.25">
      <c r="C171" s="43">
        <v>50</v>
      </c>
      <c r="D171" s="29">
        <v>33.47</v>
      </c>
      <c r="E171" s="43">
        <v>2.04</v>
      </c>
      <c r="F171" s="110">
        <v>0.58433591370894422</v>
      </c>
    </row>
    <row r="172" spans="1:6" x14ac:dyDescent="0.25">
      <c r="C172" s="43">
        <v>100</v>
      </c>
      <c r="D172" s="29">
        <v>36.67</v>
      </c>
      <c r="E172" s="29">
        <v>2.09</v>
      </c>
      <c r="F172" s="110">
        <v>0.58323304079788341</v>
      </c>
    </row>
    <row r="173" spans="1:6" x14ac:dyDescent="0.25">
      <c r="C173" s="43">
        <v>200</v>
      </c>
      <c r="D173" s="29">
        <v>39.78</v>
      </c>
      <c r="E173" s="29">
        <v>2.1</v>
      </c>
      <c r="F173" s="110">
        <v>0.58249303632961658</v>
      </c>
    </row>
    <row r="174" spans="1:6" x14ac:dyDescent="0.25">
      <c r="C174" s="42"/>
      <c r="D174" s="18"/>
      <c r="E174" s="17"/>
      <c r="F174" s="17"/>
    </row>
    <row r="175" spans="1:6" x14ac:dyDescent="0.25">
      <c r="C175" s="17" t="s">
        <v>25</v>
      </c>
      <c r="D175" s="18" t="s">
        <v>21</v>
      </c>
      <c r="E175" s="17" t="s">
        <v>22</v>
      </c>
      <c r="F175" s="42" t="s">
        <v>23</v>
      </c>
    </row>
    <row r="176" spans="1:6" x14ac:dyDescent="0.25">
      <c r="A176" s="55" t="s">
        <v>423</v>
      </c>
      <c r="B176" s="17" t="s">
        <v>451</v>
      </c>
      <c r="C176" s="17">
        <v>2</v>
      </c>
      <c r="D176" s="43">
        <v>19.37</v>
      </c>
      <c r="E176" s="43">
        <v>2.13</v>
      </c>
      <c r="F176" s="110">
        <v>0.58486963151472537</v>
      </c>
    </row>
    <row r="177" spans="1:6" ht="16.5" x14ac:dyDescent="0.3">
      <c r="A177" t="s">
        <v>280</v>
      </c>
      <c r="B177" s="17" t="s">
        <v>281</v>
      </c>
      <c r="C177" s="17">
        <v>5</v>
      </c>
      <c r="D177" s="29">
        <v>23.79</v>
      </c>
      <c r="E177" s="29">
        <v>2.21</v>
      </c>
      <c r="F177" s="110">
        <v>0.5911344341247764</v>
      </c>
    </row>
    <row r="178" spans="1:6" ht="16.5" x14ac:dyDescent="0.3">
      <c r="A178" t="s">
        <v>282</v>
      </c>
      <c r="B178" s="17" t="s">
        <v>283</v>
      </c>
      <c r="C178" s="17">
        <v>10</v>
      </c>
      <c r="D178" s="43">
        <v>26.63</v>
      </c>
      <c r="E178" s="43">
        <v>2.14</v>
      </c>
      <c r="F178" s="110">
        <v>0.58575481618898317</v>
      </c>
    </row>
    <row r="179" spans="1:6" x14ac:dyDescent="0.25">
      <c r="A179" s="55" t="s">
        <v>320</v>
      </c>
      <c r="B179" s="17" t="s">
        <v>284</v>
      </c>
      <c r="C179" s="17">
        <v>25</v>
      </c>
      <c r="D179" s="29">
        <v>29.95</v>
      </c>
      <c r="E179" s="43">
        <v>1.95</v>
      </c>
      <c r="F179" s="110">
        <v>0.575168634821839</v>
      </c>
    </row>
    <row r="180" spans="1:6" x14ac:dyDescent="0.25">
      <c r="C180" s="17">
        <v>50</v>
      </c>
      <c r="D180" s="43">
        <v>32.119999999999997</v>
      </c>
      <c r="E180" s="43">
        <v>1.76</v>
      </c>
      <c r="F180" s="110">
        <v>0.56548640632288605</v>
      </c>
    </row>
    <row r="181" spans="1:6" x14ac:dyDescent="0.25">
      <c r="C181" s="17">
        <v>100</v>
      </c>
      <c r="D181" s="18">
        <v>35.03</v>
      </c>
      <c r="E181" s="18">
        <v>1.83</v>
      </c>
      <c r="F181" s="111">
        <v>0.56191708949968444</v>
      </c>
    </row>
    <row r="182" spans="1:6" x14ac:dyDescent="0.25">
      <c r="C182" s="17">
        <v>200</v>
      </c>
      <c r="D182" s="18">
        <v>35.79</v>
      </c>
      <c r="E182" s="18">
        <v>1.42</v>
      </c>
      <c r="F182" s="111">
        <v>0.54463114599245399</v>
      </c>
    </row>
    <row r="183" spans="1:6" x14ac:dyDescent="0.25">
      <c r="C183" s="17"/>
      <c r="D183" s="18"/>
      <c r="E183" s="18"/>
      <c r="F183" s="111"/>
    </row>
    <row r="184" spans="1:6" x14ac:dyDescent="0.25">
      <c r="C184" s="17"/>
      <c r="D184" s="18"/>
      <c r="E184" s="18"/>
      <c r="F184" s="111"/>
    </row>
    <row r="185" spans="1:6" x14ac:dyDescent="0.25">
      <c r="A185" s="55" t="s">
        <v>423</v>
      </c>
      <c r="B185" s="43" t="s">
        <v>452</v>
      </c>
      <c r="C185" s="17" t="s">
        <v>25</v>
      </c>
      <c r="D185" s="18" t="s">
        <v>21</v>
      </c>
      <c r="E185" s="17" t="s">
        <v>22</v>
      </c>
      <c r="F185" s="42" t="s">
        <v>23</v>
      </c>
    </row>
    <row r="186" spans="1:6" ht="16.5" x14ac:dyDescent="0.3">
      <c r="A186" s="55" t="s">
        <v>289</v>
      </c>
      <c r="B186" s="43" t="s">
        <v>294</v>
      </c>
      <c r="C186" s="17">
        <v>2</v>
      </c>
      <c r="D186" s="18">
        <v>21.51</v>
      </c>
      <c r="E186" s="29">
        <v>2.11</v>
      </c>
      <c r="F186" s="105">
        <v>0.58261970856128831</v>
      </c>
    </row>
    <row r="187" spans="1:6" ht="16.5" x14ac:dyDescent="0.3">
      <c r="A187" s="55" t="s">
        <v>291</v>
      </c>
      <c r="B187" s="43" t="s">
        <v>295</v>
      </c>
      <c r="C187" s="17">
        <v>5</v>
      </c>
      <c r="D187" s="29">
        <v>25.1</v>
      </c>
      <c r="E187" s="29">
        <v>1.98</v>
      </c>
      <c r="F187" s="105">
        <v>0.5769792083845261</v>
      </c>
    </row>
    <row r="188" spans="1:6" x14ac:dyDescent="0.25">
      <c r="A188" s="55" t="s">
        <v>320</v>
      </c>
      <c r="B188" s="17" t="s">
        <v>296</v>
      </c>
      <c r="C188" s="17">
        <v>10</v>
      </c>
      <c r="D188" s="43">
        <v>27.39</v>
      </c>
      <c r="E188" s="29">
        <v>1.8</v>
      </c>
      <c r="F188" s="105">
        <v>0.56629686038888727</v>
      </c>
    </row>
    <row r="189" spans="1:6" x14ac:dyDescent="0.25">
      <c r="C189" s="17">
        <v>25</v>
      </c>
      <c r="D189" s="29">
        <v>29.69</v>
      </c>
      <c r="E189" s="43">
        <v>1.46</v>
      </c>
      <c r="F189" s="104">
        <v>0.54702779023287318</v>
      </c>
    </row>
    <row r="190" spans="1:6" x14ac:dyDescent="0.25">
      <c r="C190" s="17">
        <v>50</v>
      </c>
      <c r="D190" s="43">
        <v>31.86</v>
      </c>
      <c r="E190" s="43">
        <v>1.46</v>
      </c>
      <c r="F190" s="104">
        <v>0.53695705918256376</v>
      </c>
    </row>
    <row r="191" spans="1:6" x14ac:dyDescent="0.25">
      <c r="C191" s="17">
        <v>100</v>
      </c>
      <c r="D191" s="43">
        <v>32.44</v>
      </c>
      <c r="E191" s="43">
        <v>1.04</v>
      </c>
      <c r="F191" s="104">
        <v>0.51709564948839026</v>
      </c>
    </row>
    <row r="192" spans="1:6" x14ac:dyDescent="0.25">
      <c r="C192" s="17">
        <v>200</v>
      </c>
      <c r="D192" s="18">
        <v>32.96</v>
      </c>
      <c r="E192" s="17">
        <v>0.74</v>
      </c>
      <c r="F192" s="104">
        <v>0.4982175836447193</v>
      </c>
    </row>
    <row r="193" spans="1:6" x14ac:dyDescent="0.25">
      <c r="C193" s="17"/>
      <c r="D193" s="18"/>
      <c r="E193" s="17"/>
      <c r="F193" s="104"/>
    </row>
    <row r="194" spans="1:6" x14ac:dyDescent="0.25">
      <c r="A194" s="55" t="s">
        <v>423</v>
      </c>
      <c r="B194" s="17" t="s">
        <v>453</v>
      </c>
      <c r="C194" s="42" t="s">
        <v>25</v>
      </c>
      <c r="D194" s="18" t="s">
        <v>21</v>
      </c>
      <c r="E194" s="17" t="s">
        <v>22</v>
      </c>
      <c r="F194" s="17" t="s">
        <v>23</v>
      </c>
    </row>
    <row r="195" spans="1:6" x14ac:dyDescent="0.25">
      <c r="A195" t="s">
        <v>289</v>
      </c>
      <c r="B195" s="17" t="s">
        <v>339</v>
      </c>
      <c r="C195" s="17">
        <v>2</v>
      </c>
      <c r="D195" s="29">
        <v>20.03</v>
      </c>
      <c r="E195" s="43">
        <v>1.95</v>
      </c>
      <c r="F195" s="105">
        <v>0.57337339198788173</v>
      </c>
    </row>
    <row r="196" spans="1:6" x14ac:dyDescent="0.25">
      <c r="A196" t="s">
        <v>291</v>
      </c>
      <c r="B196" s="17" t="s">
        <v>340</v>
      </c>
      <c r="C196" s="17">
        <v>5</v>
      </c>
      <c r="D196" s="29">
        <v>22.33</v>
      </c>
      <c r="E196" s="29">
        <v>1.59</v>
      </c>
      <c r="F196" s="105">
        <v>0.5537358652822969</v>
      </c>
    </row>
    <row r="197" spans="1:6" x14ac:dyDescent="0.25">
      <c r="A197" t="s">
        <v>320</v>
      </c>
      <c r="B197" s="7" t="s">
        <v>105</v>
      </c>
      <c r="C197" s="17">
        <v>10</v>
      </c>
      <c r="D197" s="29">
        <v>24.56</v>
      </c>
      <c r="E197" s="29">
        <v>1.47</v>
      </c>
      <c r="F197" s="105">
        <v>0.54423079668251184</v>
      </c>
    </row>
    <row r="198" spans="1:6" x14ac:dyDescent="0.25">
      <c r="C198" s="17">
        <v>25</v>
      </c>
      <c r="D198" s="29">
        <v>26.11</v>
      </c>
      <c r="E198" s="29">
        <v>1</v>
      </c>
      <c r="F198" s="105">
        <v>0.51910213608701172</v>
      </c>
    </row>
    <row r="199" spans="1:6" x14ac:dyDescent="0.25">
      <c r="C199" s="17">
        <v>50</v>
      </c>
      <c r="D199" s="29">
        <v>27.84</v>
      </c>
      <c r="E199" s="29">
        <v>0.93</v>
      </c>
      <c r="F199" s="105">
        <v>0.50655006118189017</v>
      </c>
    </row>
    <row r="200" spans="1:6" x14ac:dyDescent="0.25">
      <c r="C200" s="17">
        <v>100</v>
      </c>
      <c r="D200" s="29">
        <v>28.98</v>
      </c>
      <c r="E200" s="29">
        <v>0.73</v>
      </c>
      <c r="F200" s="105">
        <v>0.49090829230229999</v>
      </c>
    </row>
    <row r="201" spans="1:6" x14ac:dyDescent="0.25">
      <c r="C201" s="17">
        <v>200</v>
      </c>
      <c r="D201" s="29">
        <v>29.23</v>
      </c>
      <c r="E201" s="29">
        <v>0.26</v>
      </c>
      <c r="F201" s="105">
        <v>0.46980692303832805</v>
      </c>
    </row>
    <row r="202" spans="1:6" x14ac:dyDescent="0.25">
      <c r="C202" s="17"/>
      <c r="D202" s="18"/>
      <c r="E202" s="17"/>
      <c r="F202" s="42"/>
    </row>
    <row r="203" spans="1:6" x14ac:dyDescent="0.25">
      <c r="A203" s="55" t="s">
        <v>423</v>
      </c>
      <c r="B203" s="17" t="s">
        <v>454</v>
      </c>
      <c r="C203" s="17" t="s">
        <v>25</v>
      </c>
      <c r="D203" s="18" t="s">
        <v>21</v>
      </c>
      <c r="E203" s="17" t="s">
        <v>22</v>
      </c>
      <c r="F203" s="42" t="s">
        <v>23</v>
      </c>
    </row>
    <row r="204" spans="1:6" x14ac:dyDescent="0.25">
      <c r="B204" s="17" t="s">
        <v>455</v>
      </c>
      <c r="C204" s="17">
        <v>2</v>
      </c>
      <c r="D204" s="18">
        <v>16.52</v>
      </c>
      <c r="E204" s="18">
        <v>1.53</v>
      </c>
      <c r="F204" s="110">
        <v>0.55050456053902774</v>
      </c>
    </row>
    <row r="205" spans="1:6" ht="16.5" x14ac:dyDescent="0.3">
      <c r="A205" t="s">
        <v>280</v>
      </c>
      <c r="B205" s="17" t="s">
        <v>285</v>
      </c>
      <c r="C205" s="17">
        <v>5</v>
      </c>
      <c r="D205" s="29">
        <v>20.350000000000001</v>
      </c>
      <c r="E205" s="29">
        <v>1.63</v>
      </c>
      <c r="F205" s="110">
        <v>0.55219258211858824</v>
      </c>
    </row>
    <row r="206" spans="1:6" ht="16.5" x14ac:dyDescent="0.3">
      <c r="A206" t="s">
        <v>282</v>
      </c>
      <c r="B206" s="17" t="s">
        <v>286</v>
      </c>
      <c r="C206" s="17">
        <v>10</v>
      </c>
      <c r="D206" s="29">
        <v>22.93</v>
      </c>
      <c r="E206" s="29">
        <v>1.52</v>
      </c>
      <c r="F206" s="110">
        <v>0.54781980332548241</v>
      </c>
    </row>
    <row r="207" spans="1:6" x14ac:dyDescent="0.25">
      <c r="A207" s="55" t="s">
        <v>320</v>
      </c>
      <c r="B207" s="17" t="s">
        <v>287</v>
      </c>
      <c r="C207" s="17">
        <v>25</v>
      </c>
      <c r="D207" s="29">
        <v>26.27</v>
      </c>
      <c r="E207" s="29">
        <v>1.4</v>
      </c>
      <c r="F207" s="304">
        <v>0.54285106600864153</v>
      </c>
    </row>
    <row r="208" spans="1:6" x14ac:dyDescent="0.25">
      <c r="C208" s="17">
        <v>50</v>
      </c>
      <c r="D208" s="29">
        <v>29.02</v>
      </c>
      <c r="E208" s="29">
        <v>1.42</v>
      </c>
      <c r="F208" s="110">
        <v>0.54159694457572782</v>
      </c>
    </row>
    <row r="209" spans="3:6" x14ac:dyDescent="0.25">
      <c r="C209" s="17">
        <v>100</v>
      </c>
      <c r="D209" s="29">
        <v>31.78</v>
      </c>
      <c r="E209" s="29">
        <v>1.42</v>
      </c>
      <c r="F209" s="110">
        <v>0.54199186178373693</v>
      </c>
    </row>
    <row r="210" spans="3:6" x14ac:dyDescent="0.25">
      <c r="C210" s="17">
        <v>200</v>
      </c>
      <c r="D210" s="29">
        <v>34</v>
      </c>
      <c r="E210" s="29">
        <v>1.31</v>
      </c>
      <c r="F210" s="110">
        <v>0.53886568772733401</v>
      </c>
    </row>
    <row r="211" spans="3:6" x14ac:dyDescent="0.25">
      <c r="C211" s="42"/>
      <c r="D211" s="18"/>
      <c r="E211" s="17"/>
      <c r="F211" s="17"/>
    </row>
    <row r="212" spans="3:6" x14ac:dyDescent="0.25">
      <c r="C212" s="17"/>
      <c r="D212" s="17"/>
      <c r="E212" s="17"/>
      <c r="F212" s="17"/>
    </row>
    <row r="213" spans="3:6" x14ac:dyDescent="0.25">
      <c r="C213" s="17"/>
      <c r="D213" s="17"/>
      <c r="E213" s="17"/>
      <c r="F213" s="17"/>
    </row>
    <row r="214" spans="3:6" x14ac:dyDescent="0.25">
      <c r="C214" s="17"/>
      <c r="D214" s="17"/>
      <c r="E214" s="17"/>
      <c r="F214" s="17"/>
    </row>
    <row r="215" spans="3:6" x14ac:dyDescent="0.25">
      <c r="C215" s="17"/>
      <c r="D215" s="17"/>
      <c r="E215" s="17"/>
      <c r="F215" s="17"/>
    </row>
    <row r="216" spans="3:6" x14ac:dyDescent="0.25">
      <c r="C216" s="17"/>
      <c r="D216" s="17"/>
      <c r="E216" s="17"/>
      <c r="F216" s="17"/>
    </row>
    <row r="217" spans="3:6" x14ac:dyDescent="0.25">
      <c r="C217" s="17"/>
      <c r="D217" s="17"/>
      <c r="E217" s="17"/>
      <c r="F217" s="17"/>
    </row>
    <row r="218" spans="3:6" x14ac:dyDescent="0.25">
      <c r="C218" s="17"/>
      <c r="D218" s="17"/>
      <c r="E218" s="17"/>
      <c r="F218" s="17"/>
    </row>
    <row r="219" spans="3:6" x14ac:dyDescent="0.25">
      <c r="C219" s="17"/>
      <c r="D219" s="17"/>
      <c r="E219" s="17"/>
      <c r="F219" s="17"/>
    </row>
    <row r="220" spans="3:6" x14ac:dyDescent="0.25">
      <c r="C220" s="42"/>
      <c r="D220" s="18"/>
      <c r="E220" s="17"/>
      <c r="F220" s="17"/>
    </row>
    <row r="221" spans="3:6" x14ac:dyDescent="0.25">
      <c r="C221" s="17"/>
      <c r="D221" s="17"/>
      <c r="E221" s="17"/>
      <c r="F221" s="17"/>
    </row>
    <row r="222" spans="3:6" x14ac:dyDescent="0.25">
      <c r="C222" s="17"/>
      <c r="D222" s="17"/>
      <c r="E222" s="17"/>
      <c r="F222" s="17"/>
    </row>
    <row r="223" spans="3:6" x14ac:dyDescent="0.25">
      <c r="C223" s="17"/>
      <c r="D223" s="17"/>
      <c r="E223" s="17"/>
      <c r="F223" s="17"/>
    </row>
    <row r="224" spans="3:6" x14ac:dyDescent="0.25">
      <c r="C224" s="17"/>
      <c r="D224" s="17"/>
      <c r="E224" s="17"/>
      <c r="F224" s="17"/>
    </row>
    <row r="225" spans="3:7" x14ac:dyDescent="0.25">
      <c r="C225" s="17"/>
      <c r="D225" s="17"/>
      <c r="E225" s="17"/>
      <c r="F225" s="17"/>
      <c r="G225" s="108"/>
    </row>
    <row r="226" spans="3:7" x14ac:dyDescent="0.25">
      <c r="C226" s="17"/>
      <c r="D226" s="17"/>
      <c r="E226" s="17"/>
      <c r="F226" s="17"/>
    </row>
    <row r="227" spans="3:7" x14ac:dyDescent="0.25">
      <c r="C227"/>
      <c r="D227"/>
    </row>
    <row r="228" spans="3:7" x14ac:dyDescent="0.25">
      <c r="C228"/>
      <c r="D228"/>
    </row>
    <row r="230" spans="3:7" x14ac:dyDescent="0.25">
      <c r="C230"/>
      <c r="D230"/>
    </row>
    <row r="231" spans="3:7" x14ac:dyDescent="0.25">
      <c r="C231"/>
      <c r="D231"/>
    </row>
    <row r="232" spans="3:7" x14ac:dyDescent="0.25">
      <c r="C232"/>
      <c r="D232"/>
    </row>
    <row r="233" spans="3:7" x14ac:dyDescent="0.25">
      <c r="C233"/>
      <c r="D233"/>
    </row>
    <row r="234" spans="3:7" x14ac:dyDescent="0.25">
      <c r="C234"/>
      <c r="D234"/>
    </row>
    <row r="235" spans="3:7" x14ac:dyDescent="0.25">
      <c r="C235"/>
      <c r="D235"/>
    </row>
    <row r="236" spans="3:7" x14ac:dyDescent="0.25">
      <c r="C236"/>
      <c r="D236"/>
    </row>
    <row r="237" spans="3:7" x14ac:dyDescent="0.25">
      <c r="C237"/>
      <c r="D237"/>
    </row>
    <row r="239" spans="3:7" x14ac:dyDescent="0.25">
      <c r="C239"/>
      <c r="D239"/>
    </row>
    <row r="240" spans="3:7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1:6" x14ac:dyDescent="0.25">
      <c r="C305"/>
      <c r="D305"/>
    </row>
    <row r="306" spans="1:6" x14ac:dyDescent="0.25">
      <c r="C306"/>
      <c r="D306"/>
    </row>
    <row r="307" spans="1:6" x14ac:dyDescent="0.25">
      <c r="C307"/>
      <c r="D307"/>
    </row>
    <row r="308" spans="1:6" x14ac:dyDescent="0.25">
      <c r="C308"/>
      <c r="D308"/>
    </row>
    <row r="309" spans="1:6" x14ac:dyDescent="0.25">
      <c r="C309"/>
      <c r="D309"/>
    </row>
    <row r="310" spans="1:6" x14ac:dyDescent="0.25">
      <c r="C310"/>
      <c r="D310"/>
    </row>
    <row r="311" spans="1:6" x14ac:dyDescent="0.25">
      <c r="C311"/>
      <c r="D311"/>
    </row>
    <row r="312" spans="1:6" x14ac:dyDescent="0.25">
      <c r="A312" s="74"/>
      <c r="B312" s="226"/>
      <c r="C312" s="87"/>
      <c r="D312" s="88"/>
      <c r="E312" s="74"/>
      <c r="F312" s="74"/>
    </row>
    <row r="313" spans="1:6" x14ac:dyDescent="0.25">
      <c r="C313"/>
      <c r="D313"/>
    </row>
    <row r="314" spans="1:6" x14ac:dyDescent="0.25">
      <c r="C314"/>
      <c r="D314"/>
    </row>
    <row r="315" spans="1:6" x14ac:dyDescent="0.25">
      <c r="C315"/>
      <c r="D315"/>
    </row>
    <row r="316" spans="1:6" x14ac:dyDescent="0.25">
      <c r="C316"/>
      <c r="D316"/>
    </row>
    <row r="317" spans="1:6" x14ac:dyDescent="0.25">
      <c r="C317"/>
      <c r="D317"/>
    </row>
    <row r="318" spans="1:6" x14ac:dyDescent="0.25">
      <c r="C318"/>
      <c r="D318"/>
    </row>
    <row r="319" spans="1:6" x14ac:dyDescent="0.25">
      <c r="C319"/>
      <c r="D319"/>
    </row>
    <row r="320" spans="1:6" x14ac:dyDescent="0.25">
      <c r="C320"/>
      <c r="D320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</sheetData>
  <sheetProtection select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5065-31CC-49F7-B054-269DF2C5A311}">
  <sheetPr codeName="Sheet3"/>
  <dimension ref="A1:V53"/>
  <sheetViews>
    <sheetView topLeftCell="A7" zoomScale="130" zoomScaleNormal="130" workbookViewId="0">
      <selection activeCell="B4" sqref="B4:D4"/>
    </sheetView>
  </sheetViews>
  <sheetFormatPr defaultColWidth="9.28515625" defaultRowHeight="15" x14ac:dyDescent="0.25"/>
  <cols>
    <col min="1" max="1" width="10.5703125" style="13" customWidth="1"/>
    <col min="2" max="2" width="13.85546875" style="13" customWidth="1"/>
    <col min="3" max="3" width="10.42578125" style="13" customWidth="1"/>
    <col min="4" max="5" width="9.7109375" style="13" customWidth="1"/>
    <col min="6" max="7" width="10.7109375" style="13" customWidth="1"/>
    <col min="8" max="8" width="9.140625" style="13" customWidth="1"/>
    <col min="9" max="9" width="10.5703125" style="13" customWidth="1"/>
    <col min="10" max="10" width="13.85546875" style="13" customWidth="1"/>
    <col min="11" max="11" width="10.42578125" style="13" bestFit="1" customWidth="1"/>
    <col min="12" max="13" width="9.7109375" style="13" customWidth="1"/>
    <col min="14" max="15" width="10.7109375" style="13" customWidth="1"/>
    <col min="16" max="16" width="9.140625" style="13" customWidth="1"/>
    <col min="17" max="17" width="9.7109375" style="57" customWidth="1"/>
    <col min="18" max="18" width="9.85546875" style="13" bestFit="1" customWidth="1"/>
    <col min="19" max="20" width="9.28515625" style="13"/>
    <col min="21" max="21" width="6.5703125" style="16" customWidth="1"/>
    <col min="22" max="22" width="7.85546875" style="13" customWidth="1"/>
    <col min="23" max="16384" width="9.28515625" style="13"/>
  </cols>
  <sheetData>
    <row r="1" spans="1:22" ht="18.75" x14ac:dyDescent="0.3">
      <c r="A1"/>
      <c r="B1"/>
      <c r="C1" s="561" t="s">
        <v>166</v>
      </c>
      <c r="D1" s="561"/>
      <c r="E1" s="561"/>
      <c r="F1" s="329"/>
      <c r="G1"/>
      <c r="H1"/>
      <c r="I1"/>
      <c r="J1"/>
      <c r="K1" s="561" t="s">
        <v>166</v>
      </c>
      <c r="L1" s="561"/>
      <c r="M1" s="561"/>
      <c r="N1" s="289"/>
      <c r="O1"/>
      <c r="P1" s="57"/>
      <c r="U1" s="78"/>
    </row>
    <row r="2" spans="1:22" x14ac:dyDescent="0.25">
      <c r="A2"/>
      <c r="B2"/>
      <c r="C2" s="36" t="s">
        <v>220</v>
      </c>
      <c r="D2"/>
      <c r="E2"/>
      <c r="F2"/>
      <c r="G2"/>
      <c r="H2"/>
      <c r="I2"/>
      <c r="J2"/>
      <c r="K2" s="36" t="s">
        <v>220</v>
      </c>
      <c r="L2"/>
      <c r="M2"/>
      <c r="N2"/>
      <c r="O2"/>
      <c r="P2" s="57"/>
      <c r="U2" s="78"/>
      <c r="V2" s="51"/>
    </row>
    <row r="3" spans="1:22" x14ac:dyDescent="0.25">
      <c r="A3"/>
      <c r="B3"/>
      <c r="C3" t="s">
        <v>539</v>
      </c>
      <c r="D3"/>
      <c r="E3"/>
      <c r="F3"/>
      <c r="G3"/>
      <c r="H3"/>
      <c r="I3"/>
      <c r="J3"/>
      <c r="K3" t="str">
        <f>C3</f>
        <v>For urban regression equations lagtime</v>
      </c>
      <c r="L3"/>
      <c r="M3"/>
      <c r="N3"/>
      <c r="O3"/>
      <c r="P3" s="57"/>
      <c r="U3" s="78"/>
    </row>
    <row r="4" spans="1:22" x14ac:dyDescent="0.25">
      <c r="A4" s="33" t="s">
        <v>0</v>
      </c>
      <c r="B4" s="558"/>
      <c r="C4" s="559"/>
      <c r="D4" s="560"/>
      <c r="E4"/>
      <c r="F4"/>
      <c r="G4"/>
      <c r="H4"/>
      <c r="I4" s="33" t="s">
        <v>0</v>
      </c>
      <c r="J4" s="206"/>
      <c r="K4" s="202"/>
      <c r="L4" s="207"/>
      <c r="M4"/>
      <c r="N4"/>
      <c r="O4"/>
      <c r="P4" s="57"/>
      <c r="U4" s="77"/>
      <c r="V4" s="16"/>
    </row>
    <row r="5" spans="1:22" ht="15" customHeight="1" x14ac:dyDescent="0.25">
      <c r="A5" s="173" t="s">
        <v>4</v>
      </c>
      <c r="B5" s="562" t="s">
        <v>76</v>
      </c>
      <c r="C5" s="562"/>
      <c r="D5" s="562"/>
      <c r="E5" s="178" t="s">
        <v>380</v>
      </c>
      <c r="F5" s="178" t="s">
        <v>381</v>
      </c>
      <c r="G5" s="178" t="s">
        <v>468</v>
      </c>
      <c r="H5" s="173"/>
      <c r="I5" s="173" t="s">
        <v>4</v>
      </c>
      <c r="J5" s="206" t="str">
        <f t="shared" ref="J5:J10" si="0">B5</f>
        <v>Hale</v>
      </c>
      <c r="K5" s="380"/>
      <c r="L5" s="207"/>
      <c r="M5" s="377" t="s">
        <v>380</v>
      </c>
      <c r="N5" s="178" t="s">
        <v>381</v>
      </c>
      <c r="O5" s="178" t="s">
        <v>468</v>
      </c>
      <c r="P5" s="57"/>
      <c r="U5" s="78"/>
      <c r="V5" s="16"/>
    </row>
    <row r="6" spans="1:22" x14ac:dyDescent="0.25">
      <c r="A6" s="1" t="s">
        <v>173</v>
      </c>
      <c r="B6" s="558" t="s">
        <v>520</v>
      </c>
      <c r="C6" s="559"/>
      <c r="D6" s="560"/>
      <c r="E6" s="119">
        <v>31.285</v>
      </c>
      <c r="F6" s="120">
        <v>86.152000000000001</v>
      </c>
      <c r="G6" s="119">
        <v>250</v>
      </c>
      <c r="I6" s="1" t="s">
        <v>173</v>
      </c>
      <c r="J6" s="206" t="str">
        <f t="shared" si="0"/>
        <v>Greensboro east</v>
      </c>
      <c r="K6" s="202"/>
      <c r="L6" s="207"/>
      <c r="M6" s="544">
        <f>E6</f>
        <v>31.285</v>
      </c>
      <c r="N6" s="40">
        <f t="shared" ref="N6:O6" si="1">F6</f>
        <v>86.152000000000001</v>
      </c>
      <c r="O6" s="40">
        <f t="shared" si="1"/>
        <v>250</v>
      </c>
      <c r="P6" s="57"/>
      <c r="U6" s="77"/>
      <c r="V6" s="16"/>
    </row>
    <row r="7" spans="1:22" x14ac:dyDescent="0.25">
      <c r="A7" s="1" t="s">
        <v>118</v>
      </c>
      <c r="B7" s="558" t="s">
        <v>502</v>
      </c>
      <c r="C7" s="559"/>
      <c r="D7" s="560"/>
      <c r="I7" s="113" t="s">
        <v>118</v>
      </c>
      <c r="J7" s="201" t="str">
        <f t="shared" si="0"/>
        <v>SR 14</v>
      </c>
      <c r="K7" s="202"/>
      <c r="L7" s="381"/>
      <c r="P7" s="57"/>
      <c r="S7" s="16"/>
      <c r="U7" s="78"/>
    </row>
    <row r="8" spans="1:22" x14ac:dyDescent="0.25">
      <c r="A8" t="s">
        <v>164</v>
      </c>
      <c r="B8" s="376"/>
      <c r="C8" s="337"/>
      <c r="D8" s="207"/>
      <c r="E8" s="542"/>
      <c r="F8" s="47"/>
      <c r="H8" s="47"/>
      <c r="I8" s="79" t="s">
        <v>164</v>
      </c>
      <c r="J8" s="376"/>
      <c r="K8" s="202"/>
      <c r="L8" s="379"/>
      <c r="P8" s="57"/>
      <c r="S8" s="16"/>
      <c r="U8" s="77"/>
    </row>
    <row r="9" spans="1:22" x14ac:dyDescent="0.25">
      <c r="A9" s="4" t="s">
        <v>176</v>
      </c>
      <c r="B9" s="345">
        <v>43306</v>
      </c>
      <c r="C9" s="346"/>
      <c r="I9" s="79" t="s">
        <v>176</v>
      </c>
      <c r="J9" s="382">
        <f t="shared" si="0"/>
        <v>43306</v>
      </c>
      <c r="K9" s="207"/>
      <c r="P9" s="57"/>
      <c r="U9" s="78"/>
    </row>
    <row r="10" spans="1:22" x14ac:dyDescent="0.25">
      <c r="A10" s="1" t="s">
        <v>122</v>
      </c>
      <c r="B10" s="558" t="s">
        <v>2</v>
      </c>
      <c r="C10" s="560"/>
      <c r="I10" s="1" t="s">
        <v>122</v>
      </c>
      <c r="J10" s="196" t="str">
        <f t="shared" si="0"/>
        <v>dr</v>
      </c>
      <c r="K10" s="378"/>
      <c r="P10" s="57"/>
      <c r="U10" s="78"/>
    </row>
    <row r="11" spans="1:22" ht="15.75" thickBot="1" x14ac:dyDescent="0.3">
      <c r="A11"/>
      <c r="I11"/>
      <c r="P11" s="57"/>
      <c r="U11" s="78"/>
    </row>
    <row r="12" spans="1:22" ht="15" customHeight="1" x14ac:dyDescent="0.25">
      <c r="A12"/>
      <c r="B12" s="563" t="s">
        <v>378</v>
      </c>
      <c r="C12" s="565" t="s">
        <v>171</v>
      </c>
      <c r="D12" s="127" t="s">
        <v>177</v>
      </c>
      <c r="E12" s="127" t="s">
        <v>178</v>
      </c>
      <c r="F12" s="127" t="s">
        <v>168</v>
      </c>
      <c r="G12" s="128" t="s">
        <v>168</v>
      </c>
      <c r="H12" s="16"/>
      <c r="I12" s="17"/>
      <c r="J12" s="563" t="s">
        <v>378</v>
      </c>
      <c r="K12" s="567" t="s">
        <v>171</v>
      </c>
      <c r="L12" s="127" t="s">
        <v>177</v>
      </c>
      <c r="M12" s="127" t="s">
        <v>178</v>
      </c>
      <c r="N12" s="127" t="s">
        <v>168</v>
      </c>
      <c r="O12" s="129" t="s">
        <v>168</v>
      </c>
      <c r="P12" s="57"/>
      <c r="U12" s="78"/>
    </row>
    <row r="13" spans="1:22" ht="15" customHeight="1" thickBot="1" x14ac:dyDescent="0.3">
      <c r="A13"/>
      <c r="B13" s="564"/>
      <c r="C13" s="566"/>
      <c r="D13" s="130" t="s">
        <v>169</v>
      </c>
      <c r="E13" s="130" t="s">
        <v>169</v>
      </c>
      <c r="F13" s="130" t="s">
        <v>163</v>
      </c>
      <c r="G13" s="162" t="s">
        <v>12</v>
      </c>
      <c r="H13" s="16"/>
      <c r="I13" s="17"/>
      <c r="J13" s="564"/>
      <c r="K13" s="568"/>
      <c r="L13" s="149" t="s">
        <v>169</v>
      </c>
      <c r="M13" s="149" t="s">
        <v>169</v>
      </c>
      <c r="N13" s="130" t="s">
        <v>163</v>
      </c>
      <c r="O13" s="370" t="s">
        <v>12</v>
      </c>
      <c r="P13" s="57"/>
      <c r="U13" s="77"/>
    </row>
    <row r="14" spans="1:22" x14ac:dyDescent="0.25">
      <c r="B14" s="200" t="s">
        <v>521</v>
      </c>
      <c r="C14" s="192">
        <v>47</v>
      </c>
      <c r="D14" s="233">
        <v>40</v>
      </c>
      <c r="E14" s="231">
        <v>41</v>
      </c>
      <c r="F14" s="192">
        <f>IF(ISNUMBER(D14),D14*E14,"")</f>
        <v>1640</v>
      </c>
      <c r="G14" s="347">
        <f t="shared" ref="G14:G43" si="2">IF(ISNUMBER(F14),F14/43560," ")</f>
        <v>3.7649219467401289E-2</v>
      </c>
      <c r="J14" s="200" t="s">
        <v>522</v>
      </c>
      <c r="K14" s="233"/>
      <c r="L14" s="233">
        <v>115</v>
      </c>
      <c r="M14" s="233">
        <v>40</v>
      </c>
      <c r="N14" s="191">
        <f>IF(ISNUMBER(L14),L14*M14,"")</f>
        <v>4600</v>
      </c>
      <c r="O14" s="383">
        <f t="shared" ref="O14:O40" si="3">IF(ISNUMBER(N14),N14/43560," ")</f>
        <v>0.10560146923783287</v>
      </c>
      <c r="P14" s="57"/>
      <c r="U14" s="77"/>
    </row>
    <row r="15" spans="1:22" x14ac:dyDescent="0.25">
      <c r="B15" s="200"/>
      <c r="C15" s="192">
        <v>48</v>
      </c>
      <c r="D15" s="192">
        <v>60</v>
      </c>
      <c r="E15" s="192">
        <v>46</v>
      </c>
      <c r="F15" s="192">
        <f t="shared" ref="F15:F42" si="4">IF(ISNUMBER(D15),D15*E15,"")</f>
        <v>2760</v>
      </c>
      <c r="G15" s="347">
        <f t="shared" si="2"/>
        <v>6.3360881542699726E-2</v>
      </c>
      <c r="J15" s="200"/>
      <c r="K15" s="192"/>
      <c r="L15" s="192">
        <v>30</v>
      </c>
      <c r="M15" s="192">
        <v>29</v>
      </c>
      <c r="N15" s="192">
        <f t="shared" ref="N15:N40" si="5">IF(ISNUMBER(L15),L15*M15,"")</f>
        <v>870</v>
      </c>
      <c r="O15" s="347">
        <f t="shared" si="3"/>
        <v>1.9972451790633609E-2</v>
      </c>
      <c r="P15" s="57"/>
      <c r="U15" s="77"/>
    </row>
    <row r="16" spans="1:22" x14ac:dyDescent="0.25">
      <c r="B16" s="200"/>
      <c r="C16" s="192">
        <v>49</v>
      </c>
      <c r="D16" s="192">
        <v>24</v>
      </c>
      <c r="E16" s="192">
        <v>47</v>
      </c>
      <c r="F16" s="192">
        <f t="shared" si="4"/>
        <v>1128</v>
      </c>
      <c r="G16" s="347">
        <f t="shared" si="2"/>
        <v>2.5895316804407712E-2</v>
      </c>
      <c r="J16" s="200"/>
      <c r="K16" s="192"/>
      <c r="L16" s="192">
        <v>67</v>
      </c>
      <c r="M16" s="192">
        <v>19</v>
      </c>
      <c r="N16" s="192">
        <f t="shared" si="5"/>
        <v>1273</v>
      </c>
      <c r="O16" s="347">
        <f t="shared" si="3"/>
        <v>2.9224058769513315E-2</v>
      </c>
      <c r="P16" s="57"/>
      <c r="U16" s="77"/>
    </row>
    <row r="17" spans="2:21" x14ac:dyDescent="0.25">
      <c r="B17" s="200"/>
      <c r="C17" s="192">
        <v>50</v>
      </c>
      <c r="D17" s="192">
        <v>33</v>
      </c>
      <c r="E17" s="192">
        <v>41</v>
      </c>
      <c r="F17" s="192">
        <f t="shared" si="4"/>
        <v>1353</v>
      </c>
      <c r="G17" s="347">
        <f t="shared" si="2"/>
        <v>3.1060606060606059E-2</v>
      </c>
      <c r="J17" s="200"/>
      <c r="K17" s="192"/>
      <c r="L17" s="192">
        <v>82</v>
      </c>
      <c r="M17" s="192">
        <v>26</v>
      </c>
      <c r="N17" s="192">
        <f t="shared" si="5"/>
        <v>2132</v>
      </c>
      <c r="O17" s="347">
        <f t="shared" si="3"/>
        <v>4.8943985307621674E-2</v>
      </c>
      <c r="P17" s="57"/>
      <c r="U17" s="77"/>
    </row>
    <row r="18" spans="2:21" x14ac:dyDescent="0.25">
      <c r="B18" s="200"/>
      <c r="C18" s="192">
        <v>51</v>
      </c>
      <c r="D18" s="192">
        <v>37</v>
      </c>
      <c r="E18" s="192">
        <v>41</v>
      </c>
      <c r="F18" s="192">
        <f t="shared" si="4"/>
        <v>1517</v>
      </c>
      <c r="G18" s="347">
        <f t="shared" si="2"/>
        <v>3.4825528007346188E-2</v>
      </c>
      <c r="J18" s="200"/>
      <c r="K18" s="192"/>
      <c r="L18" s="192">
        <v>195</v>
      </c>
      <c r="M18" s="192">
        <v>40</v>
      </c>
      <c r="N18" s="192">
        <f t="shared" si="5"/>
        <v>7800</v>
      </c>
      <c r="O18" s="347">
        <f t="shared" si="3"/>
        <v>0.1790633608815427</v>
      </c>
      <c r="P18" s="57"/>
      <c r="U18" s="77"/>
    </row>
    <row r="19" spans="2:21" ht="15.75" thickBot="1" x14ac:dyDescent="0.3">
      <c r="B19" s="200"/>
      <c r="C19" s="192">
        <v>52</v>
      </c>
      <c r="D19" s="192">
        <v>34</v>
      </c>
      <c r="E19" s="192">
        <v>41</v>
      </c>
      <c r="F19" s="192">
        <f t="shared" si="4"/>
        <v>1394</v>
      </c>
      <c r="G19" s="347">
        <f t="shared" si="2"/>
        <v>3.2001836547291093E-2</v>
      </c>
      <c r="J19" s="200"/>
      <c r="K19" s="192"/>
      <c r="L19" s="192">
        <v>63</v>
      </c>
      <c r="M19" s="192">
        <v>50</v>
      </c>
      <c r="N19" s="234">
        <f t="shared" si="5"/>
        <v>3150</v>
      </c>
      <c r="O19" s="347">
        <f t="shared" si="3"/>
        <v>7.2314049586776855E-2</v>
      </c>
      <c r="P19" s="57"/>
      <c r="U19" s="77"/>
    </row>
    <row r="20" spans="2:21" x14ac:dyDescent="0.25">
      <c r="B20" s="200"/>
      <c r="C20" s="192">
        <v>53</v>
      </c>
      <c r="D20" s="192">
        <v>40</v>
      </c>
      <c r="E20" s="192">
        <v>56</v>
      </c>
      <c r="F20" s="192">
        <f t="shared" si="4"/>
        <v>2240</v>
      </c>
      <c r="G20" s="347">
        <f t="shared" si="2"/>
        <v>5.1423324150596875E-2</v>
      </c>
      <c r="J20" s="200" t="s">
        <v>523</v>
      </c>
      <c r="K20" s="192"/>
      <c r="L20" s="192"/>
      <c r="M20" s="192"/>
      <c r="N20" s="191">
        <f>SUM(N14:N19)</f>
        <v>19825</v>
      </c>
      <c r="O20" s="347">
        <f t="shared" si="3"/>
        <v>0.45511937557392101</v>
      </c>
      <c r="P20" s="57"/>
      <c r="U20" s="78"/>
    </row>
    <row r="21" spans="2:21" x14ac:dyDescent="0.25">
      <c r="B21" s="200"/>
      <c r="C21" s="192">
        <v>54</v>
      </c>
      <c r="D21" s="192">
        <v>35</v>
      </c>
      <c r="E21" s="192">
        <v>63</v>
      </c>
      <c r="F21" s="192">
        <f t="shared" si="4"/>
        <v>2205</v>
      </c>
      <c r="G21" s="347">
        <f t="shared" si="2"/>
        <v>5.06198347107438E-2</v>
      </c>
      <c r="J21" s="200"/>
      <c r="K21" s="192"/>
      <c r="L21" s="192"/>
      <c r="M21" s="192"/>
      <c r="N21" s="192"/>
      <c r="O21" s="347"/>
      <c r="P21" s="57"/>
      <c r="U21" s="77"/>
    </row>
    <row r="22" spans="2:21" x14ac:dyDescent="0.25">
      <c r="B22" s="200"/>
      <c r="C22" s="192">
        <v>55</v>
      </c>
      <c r="D22" s="192">
        <v>45</v>
      </c>
      <c r="E22" s="192">
        <v>68</v>
      </c>
      <c r="F22" s="192">
        <f t="shared" si="4"/>
        <v>3060</v>
      </c>
      <c r="G22" s="347">
        <f t="shared" si="2"/>
        <v>7.0247933884297523E-2</v>
      </c>
      <c r="J22" s="200" t="s">
        <v>172</v>
      </c>
      <c r="K22" s="192"/>
      <c r="L22" s="192">
        <v>55</v>
      </c>
      <c r="M22" s="192">
        <v>102</v>
      </c>
      <c r="N22" s="192">
        <f t="shared" ref="N22:N23" si="6">IF(ISNUMBER(L22),L22*M22,"")</f>
        <v>5610</v>
      </c>
      <c r="O22" s="347">
        <f t="shared" ref="O22" si="7">IF(ISNUMBER(N22),N22/43560," ")</f>
        <v>0.12878787878787878</v>
      </c>
      <c r="P22" s="57"/>
      <c r="U22" s="77"/>
    </row>
    <row r="23" spans="2:21" x14ac:dyDescent="0.25">
      <c r="B23" s="200"/>
      <c r="C23" s="192">
        <v>56</v>
      </c>
      <c r="D23" s="192">
        <v>38</v>
      </c>
      <c r="E23" s="192">
        <v>38</v>
      </c>
      <c r="F23" s="192">
        <f t="shared" si="4"/>
        <v>1444</v>
      </c>
      <c r="G23" s="347">
        <f t="shared" si="2"/>
        <v>3.3149678604224062E-2</v>
      </c>
      <c r="J23" s="200"/>
      <c r="K23" s="192"/>
      <c r="L23" s="192">
        <v>60</v>
      </c>
      <c r="M23" s="192">
        <v>60</v>
      </c>
      <c r="N23" s="192">
        <f t="shared" si="6"/>
        <v>3600</v>
      </c>
      <c r="O23" s="347">
        <f>IF(ISNUMBER(N23),N23/43560," ")</f>
        <v>8.2644628099173556E-2</v>
      </c>
      <c r="P23" s="57"/>
      <c r="U23" s="78"/>
    </row>
    <row r="24" spans="2:21" ht="15.75" thickBot="1" x14ac:dyDescent="0.3">
      <c r="B24" s="200"/>
      <c r="C24" s="192">
        <v>57</v>
      </c>
      <c r="D24" s="192">
        <v>41</v>
      </c>
      <c r="E24" s="232">
        <v>81</v>
      </c>
      <c r="F24" s="234">
        <f t="shared" si="4"/>
        <v>3321</v>
      </c>
      <c r="G24" s="347">
        <f t="shared" si="2"/>
        <v>7.6239669421487605E-2</v>
      </c>
      <c r="J24" s="200"/>
      <c r="K24" s="192"/>
      <c r="L24" s="192">
        <v>32</v>
      </c>
      <c r="M24" s="192">
        <v>23</v>
      </c>
      <c r="N24" s="192">
        <f>IF(ISNUMBER(L24),L24*M24,"")</f>
        <v>736</v>
      </c>
      <c r="O24" s="347">
        <f>IF(ISNUMBER(N24),N24/43560," ")</f>
        <v>1.6896235078053261E-2</v>
      </c>
      <c r="P24" s="57"/>
      <c r="U24" s="78"/>
    </row>
    <row r="25" spans="2:21" ht="15.75" thickBot="1" x14ac:dyDescent="0.3">
      <c r="B25" s="200" t="s">
        <v>523</v>
      </c>
      <c r="C25" s="192"/>
      <c r="D25" s="192"/>
      <c r="E25" s="232"/>
      <c r="F25" s="191">
        <f>SUM(F14:F24)</f>
        <v>22062</v>
      </c>
      <c r="G25" s="347">
        <f>IF(ISNUMBER(F25),F25/43560," ")</f>
        <v>0.50647382920110195</v>
      </c>
      <c r="J25" s="200"/>
      <c r="K25" s="192"/>
      <c r="L25" s="192">
        <v>32</v>
      </c>
      <c r="M25" s="192">
        <v>20</v>
      </c>
      <c r="N25" s="234">
        <f>IF(ISNUMBER(L25),L25*M25,"")</f>
        <v>640</v>
      </c>
      <c r="O25" s="347">
        <f>IF(ISNUMBER(N25),N25/43560," ")</f>
        <v>1.4692378328741965E-2</v>
      </c>
      <c r="P25" s="57"/>
      <c r="U25" s="78"/>
    </row>
    <row r="26" spans="2:21" x14ac:dyDescent="0.25">
      <c r="B26" s="200"/>
      <c r="C26" s="192"/>
      <c r="D26" s="192"/>
      <c r="E26" s="192"/>
      <c r="F26" s="192" t="str">
        <f t="shared" si="4"/>
        <v/>
      </c>
      <c r="G26" s="347" t="str">
        <f t="shared" si="2"/>
        <v xml:space="preserve"> </v>
      </c>
      <c r="J26" s="200" t="s">
        <v>523</v>
      </c>
      <c r="K26" s="192"/>
      <c r="L26" s="192"/>
      <c r="M26" s="192"/>
      <c r="N26" s="191">
        <f>SUM(N22:N25)</f>
        <v>10586</v>
      </c>
      <c r="O26" s="347">
        <f t="shared" si="3"/>
        <v>0.24302112029384756</v>
      </c>
      <c r="P26" s="57"/>
      <c r="U26" s="78"/>
    </row>
    <row r="27" spans="2:21" x14ac:dyDescent="0.25">
      <c r="B27" s="200"/>
      <c r="C27" s="192"/>
      <c r="D27" s="192"/>
      <c r="E27" s="192"/>
      <c r="F27" s="192" t="str">
        <f t="shared" si="4"/>
        <v/>
      </c>
      <c r="G27" s="347" t="str">
        <f t="shared" si="2"/>
        <v xml:space="preserve"> </v>
      </c>
      <c r="J27" s="200"/>
      <c r="K27" s="192"/>
      <c r="L27" s="192"/>
      <c r="M27" s="192"/>
      <c r="N27" s="225"/>
      <c r="O27" s="347" t="str">
        <f t="shared" si="3"/>
        <v xml:space="preserve"> </v>
      </c>
      <c r="P27" s="57"/>
      <c r="U27" s="78"/>
    </row>
    <row r="28" spans="2:21" x14ac:dyDescent="0.25">
      <c r="B28" s="200"/>
      <c r="C28" s="192"/>
      <c r="D28" s="192"/>
      <c r="E28" s="192"/>
      <c r="F28" s="192" t="str">
        <f t="shared" si="4"/>
        <v/>
      </c>
      <c r="G28" s="347" t="str">
        <f t="shared" si="2"/>
        <v xml:space="preserve"> </v>
      </c>
      <c r="J28" s="371" t="s">
        <v>524</v>
      </c>
      <c r="K28" s="192"/>
      <c r="L28" s="192">
        <v>72</v>
      </c>
      <c r="M28" s="192">
        <v>39</v>
      </c>
      <c r="N28" s="192">
        <f>IF(ISNUMBER(L28),L28*M28,"")</f>
        <v>2808</v>
      </c>
      <c r="O28" s="347">
        <f>IF(ISNUMBER(N28),N28/43560," ")</f>
        <v>6.4462809917355368E-2</v>
      </c>
      <c r="P28" s="57"/>
      <c r="U28" s="78"/>
    </row>
    <row r="29" spans="2:21" x14ac:dyDescent="0.25">
      <c r="B29" s="200"/>
      <c r="C29" s="192"/>
      <c r="D29" s="192"/>
      <c r="E29" s="192"/>
      <c r="F29" s="192" t="str">
        <f t="shared" si="4"/>
        <v/>
      </c>
      <c r="G29" s="347" t="str">
        <f t="shared" si="2"/>
        <v xml:space="preserve"> </v>
      </c>
      <c r="J29" s="200"/>
      <c r="K29" s="192"/>
      <c r="L29" s="192"/>
      <c r="M29" s="192"/>
      <c r="N29" s="192" t="str">
        <f t="shared" si="5"/>
        <v/>
      </c>
      <c r="O29" s="347" t="str">
        <f t="shared" si="3"/>
        <v xml:space="preserve"> </v>
      </c>
      <c r="P29" s="57"/>
      <c r="U29" s="78"/>
    </row>
    <row r="30" spans="2:21" x14ac:dyDescent="0.25">
      <c r="B30" s="200"/>
      <c r="C30" s="192"/>
      <c r="D30" s="193"/>
      <c r="E30" s="193"/>
      <c r="F30" s="192" t="str">
        <f t="shared" si="4"/>
        <v/>
      </c>
      <c r="G30" s="347" t="str">
        <f t="shared" si="2"/>
        <v xml:space="preserve"> </v>
      </c>
      <c r="J30" s="200"/>
      <c r="K30" s="192"/>
      <c r="L30" s="192"/>
      <c r="M30" s="192"/>
      <c r="N30" s="192"/>
      <c r="O30" s="347" t="str">
        <f t="shared" si="3"/>
        <v xml:space="preserve"> </v>
      </c>
      <c r="P30" s="57"/>
      <c r="U30" s="78"/>
    </row>
    <row r="31" spans="2:21" ht="15.75" thickBot="1" x14ac:dyDescent="0.3">
      <c r="B31" s="200" t="s">
        <v>170</v>
      </c>
      <c r="C31" s="192" t="s">
        <v>525</v>
      </c>
      <c r="D31" s="193">
        <v>40</v>
      </c>
      <c r="E31" s="193">
        <v>418</v>
      </c>
      <c r="F31" s="192">
        <f t="shared" si="4"/>
        <v>16720</v>
      </c>
      <c r="G31" s="347">
        <f t="shared" si="2"/>
        <v>0.38383838383838381</v>
      </c>
      <c r="H31" s="20"/>
      <c r="I31" s="20"/>
      <c r="J31" s="208" t="s">
        <v>526</v>
      </c>
      <c r="K31" s="192"/>
      <c r="L31" s="192"/>
      <c r="M31" s="192"/>
      <c r="N31" s="348"/>
      <c r="O31" s="383" t="str">
        <f>IF(ISNUMBER(N31),N31/43560," ")</f>
        <v xml:space="preserve"> </v>
      </c>
      <c r="P31" s="57"/>
      <c r="U31" s="78"/>
    </row>
    <row r="32" spans="2:21" x14ac:dyDescent="0.25">
      <c r="B32" s="200"/>
      <c r="C32" s="192" t="s">
        <v>527</v>
      </c>
      <c r="D32" s="193">
        <v>816</v>
      </c>
      <c r="E32" s="193">
        <v>20</v>
      </c>
      <c r="F32" s="192">
        <f>IF(ISNUMBER(D32),D32*E32,"")</f>
        <v>16320</v>
      </c>
      <c r="G32" s="347">
        <f t="shared" si="2"/>
        <v>0.37465564738292012</v>
      </c>
      <c r="H32" s="20"/>
      <c r="J32" s="193" t="s">
        <v>528</v>
      </c>
      <c r="K32" s="192" t="s">
        <v>521</v>
      </c>
      <c r="L32" s="192"/>
      <c r="M32" s="192"/>
      <c r="N32" s="384">
        <v>74551</v>
      </c>
      <c r="O32" s="347">
        <f>IF(ISNUMBER(N32),N32/43560," ")</f>
        <v>1.7114554637281909</v>
      </c>
      <c r="P32" s="57"/>
      <c r="U32" s="78"/>
    </row>
    <row r="33" spans="2:21" x14ac:dyDescent="0.25">
      <c r="B33" s="200"/>
      <c r="C33" s="192" t="s">
        <v>527</v>
      </c>
      <c r="D33" s="193">
        <v>375</v>
      </c>
      <c r="E33" s="193">
        <v>20</v>
      </c>
      <c r="F33" s="192">
        <f t="shared" si="4"/>
        <v>7500</v>
      </c>
      <c r="G33" s="347">
        <f t="shared" si="2"/>
        <v>0.17217630853994489</v>
      </c>
      <c r="H33" s="20"/>
      <c r="I33" s="20"/>
      <c r="J33" s="195" t="s">
        <v>528</v>
      </c>
      <c r="K33" s="192" t="s">
        <v>521</v>
      </c>
      <c r="L33" s="192"/>
      <c r="M33" s="192"/>
      <c r="N33" s="385">
        <v>46168</v>
      </c>
      <c r="O33" s="347">
        <f>IF(ISNUMBER(N33),N33/43560," ")</f>
        <v>1.0598714416896236</v>
      </c>
      <c r="P33" s="57"/>
      <c r="U33" s="78"/>
    </row>
    <row r="34" spans="2:21" x14ac:dyDescent="0.25">
      <c r="B34" s="200"/>
      <c r="C34" s="192" t="s">
        <v>529</v>
      </c>
      <c r="D34" s="192">
        <v>605</v>
      </c>
      <c r="E34" s="192">
        <v>20</v>
      </c>
      <c r="F34" s="192">
        <f t="shared" si="4"/>
        <v>12100</v>
      </c>
      <c r="G34" s="347">
        <f t="shared" si="2"/>
        <v>0.27777777777777779</v>
      </c>
      <c r="H34" s="372"/>
      <c r="I34" s="372"/>
      <c r="J34" s="195" t="s">
        <v>530</v>
      </c>
      <c r="K34" s="192" t="s">
        <v>521</v>
      </c>
      <c r="L34" s="192"/>
      <c r="M34" s="192"/>
      <c r="N34" s="191">
        <v>22062</v>
      </c>
      <c r="O34" s="347">
        <f t="shared" si="3"/>
        <v>0.50647382920110195</v>
      </c>
      <c r="P34" s="57"/>
      <c r="U34" s="78"/>
    </row>
    <row r="35" spans="2:21" x14ac:dyDescent="0.25">
      <c r="B35" s="200"/>
      <c r="C35" s="192" t="s">
        <v>531</v>
      </c>
      <c r="D35" s="192">
        <v>224</v>
      </c>
      <c r="E35" s="192">
        <v>40</v>
      </c>
      <c r="F35" s="192">
        <f t="shared" si="4"/>
        <v>8960</v>
      </c>
      <c r="G35" s="347">
        <f t="shared" si="2"/>
        <v>0.2056932966023875</v>
      </c>
      <c r="J35" s="200" t="s">
        <v>530</v>
      </c>
      <c r="K35" s="192" t="s">
        <v>170</v>
      </c>
      <c r="L35" s="192"/>
      <c r="M35" s="192"/>
      <c r="N35" s="192">
        <v>119020</v>
      </c>
      <c r="O35" s="347">
        <f t="shared" si="3"/>
        <v>2.7323232323232323</v>
      </c>
      <c r="P35" s="57"/>
    </row>
    <row r="36" spans="2:21" x14ac:dyDescent="0.25">
      <c r="B36" s="200"/>
      <c r="C36" s="192" t="s">
        <v>532</v>
      </c>
      <c r="D36" s="192">
        <v>812</v>
      </c>
      <c r="E36" s="192">
        <v>30</v>
      </c>
      <c r="F36" s="192">
        <f t="shared" si="4"/>
        <v>24360</v>
      </c>
      <c r="G36" s="347">
        <f t="shared" si="2"/>
        <v>0.55922865013774103</v>
      </c>
      <c r="J36" s="200" t="s">
        <v>530</v>
      </c>
      <c r="K36" s="192" t="s">
        <v>522</v>
      </c>
      <c r="L36" s="192"/>
      <c r="M36" s="192"/>
      <c r="N36" s="192">
        <v>19825</v>
      </c>
      <c r="O36" s="347">
        <f>IF(ISNUMBER(N36),N36/43560," ")</f>
        <v>0.45511937557392101</v>
      </c>
      <c r="P36" s="57"/>
    </row>
    <row r="37" spans="2:21" ht="15.75" thickBot="1" x14ac:dyDescent="0.3">
      <c r="B37" s="200"/>
      <c r="C37" s="192" t="s">
        <v>533</v>
      </c>
      <c r="D37" s="161">
        <v>1102</v>
      </c>
      <c r="E37" s="161">
        <v>30</v>
      </c>
      <c r="F37" s="234">
        <f t="shared" si="4"/>
        <v>33060</v>
      </c>
      <c r="G37" s="383">
        <f t="shared" si="2"/>
        <v>0.75895316804407709</v>
      </c>
      <c r="J37" s="200" t="s">
        <v>530</v>
      </c>
      <c r="K37" s="192" t="s">
        <v>172</v>
      </c>
      <c r="L37" s="192"/>
      <c r="M37" s="192"/>
      <c r="N37" s="192">
        <v>10586</v>
      </c>
      <c r="O37" s="347">
        <f t="shared" si="3"/>
        <v>0.24302112029384756</v>
      </c>
      <c r="P37" s="57"/>
    </row>
    <row r="38" spans="2:21" ht="15.75" thickBot="1" x14ac:dyDescent="0.3">
      <c r="B38" s="200" t="s">
        <v>523</v>
      </c>
      <c r="C38" s="192"/>
      <c r="D38" s="161"/>
      <c r="E38" s="161"/>
      <c r="F38" s="386">
        <f>SUM(F31:F37)</f>
        <v>119020</v>
      </c>
      <c r="G38" s="387">
        <f t="shared" si="2"/>
        <v>2.7323232323232323</v>
      </c>
      <c r="J38" s="200" t="s">
        <v>530</v>
      </c>
      <c r="K38" s="373" t="s">
        <v>534</v>
      </c>
      <c r="L38" s="192"/>
      <c r="M38" s="192"/>
      <c r="N38" s="192">
        <v>2808</v>
      </c>
      <c r="O38" s="347">
        <f t="shared" si="3"/>
        <v>6.4462809917355368E-2</v>
      </c>
      <c r="P38" s="57"/>
    </row>
    <row r="39" spans="2:21" ht="15.75" thickTop="1" x14ac:dyDescent="0.25">
      <c r="B39" s="200"/>
      <c r="C39" s="192"/>
      <c r="D39" s="161"/>
      <c r="E39" s="161"/>
      <c r="F39" s="191" t="str">
        <f t="shared" si="4"/>
        <v/>
      </c>
      <c r="G39" s="383" t="str">
        <f t="shared" si="2"/>
        <v xml:space="preserve"> </v>
      </c>
      <c r="J39" s="200"/>
      <c r="K39" s="192"/>
      <c r="L39" s="192"/>
      <c r="M39" s="192"/>
      <c r="N39" s="192" t="str">
        <f t="shared" si="5"/>
        <v/>
      </c>
      <c r="O39" s="347" t="str">
        <f>IF(ISNUMBER(N39),N39/43560," ")</f>
        <v xml:space="preserve"> </v>
      </c>
      <c r="P39" s="57"/>
    </row>
    <row r="40" spans="2:21" x14ac:dyDescent="0.25">
      <c r="B40" s="200"/>
      <c r="C40" s="192"/>
      <c r="D40" s="161"/>
      <c r="E40" s="161"/>
      <c r="F40" s="192" t="str">
        <f t="shared" si="4"/>
        <v/>
      </c>
      <c r="G40" s="383" t="str">
        <f t="shared" si="2"/>
        <v xml:space="preserve"> </v>
      </c>
      <c r="J40" s="200"/>
      <c r="K40" s="192"/>
      <c r="L40" s="192"/>
      <c r="M40" s="192"/>
      <c r="N40" s="192" t="str">
        <f t="shared" si="5"/>
        <v/>
      </c>
      <c r="O40" s="347" t="str">
        <f t="shared" si="3"/>
        <v xml:space="preserve"> </v>
      </c>
      <c r="P40" s="57"/>
    </row>
    <row r="41" spans="2:21" x14ac:dyDescent="0.25">
      <c r="B41" s="200"/>
      <c r="C41" s="192"/>
      <c r="D41" s="161"/>
      <c r="E41" s="161"/>
      <c r="F41" s="192" t="str">
        <f t="shared" si="4"/>
        <v/>
      </c>
      <c r="G41" s="383" t="str">
        <f t="shared" si="2"/>
        <v xml:space="preserve"> </v>
      </c>
      <c r="J41" s="200"/>
      <c r="K41" s="192"/>
      <c r="L41" s="192"/>
      <c r="M41" s="192"/>
      <c r="N41" s="192" t="str">
        <f>IF(ISNUMBER(L41),L41*M41,"")</f>
        <v/>
      </c>
      <c r="O41" s="347" t="str">
        <f>IF(ISNUMBER(N41),N41/43560," ")</f>
        <v xml:space="preserve"> </v>
      </c>
      <c r="P41" s="57"/>
    </row>
    <row r="42" spans="2:21" x14ac:dyDescent="0.25">
      <c r="B42" s="200"/>
      <c r="C42" s="192"/>
      <c r="D42" s="161"/>
      <c r="E42" s="161"/>
      <c r="F42" s="192" t="str">
        <f t="shared" si="4"/>
        <v/>
      </c>
      <c r="G42" s="383" t="str">
        <f t="shared" si="2"/>
        <v xml:space="preserve"> </v>
      </c>
      <c r="J42" s="200"/>
      <c r="K42" s="192"/>
      <c r="L42" s="192"/>
      <c r="M42" s="192"/>
      <c r="N42" s="192" t="str">
        <f>IF(ISNUMBER(L42),L42*M42,"")</f>
        <v/>
      </c>
      <c r="O42" s="347" t="str">
        <f>IF(ISNUMBER(N42),N42/43560," ")</f>
        <v xml:space="preserve"> </v>
      </c>
      <c r="P42" s="57"/>
    </row>
    <row r="43" spans="2:21" x14ac:dyDescent="0.25">
      <c r="B43" s="200"/>
      <c r="C43" s="192"/>
      <c r="D43" s="161"/>
      <c r="E43" s="161"/>
      <c r="F43" s="192"/>
      <c r="G43" s="383" t="str">
        <f t="shared" si="2"/>
        <v xml:space="preserve"> </v>
      </c>
      <c r="J43" s="200"/>
      <c r="K43" s="192"/>
      <c r="L43" s="161"/>
      <c r="M43" s="161"/>
      <c r="N43" s="192"/>
      <c r="O43" s="383" t="str">
        <f>IF(ISNUMBER(N43),N43/43560," ")</f>
        <v xml:space="preserve"> </v>
      </c>
      <c r="P43" s="57"/>
      <c r="S43" s="67"/>
    </row>
    <row r="44" spans="2:21" x14ac:dyDescent="0.25">
      <c r="B44" s="200"/>
      <c r="C44" s="192"/>
      <c r="D44" s="161"/>
      <c r="E44" s="161"/>
      <c r="F44" s="192"/>
      <c r="G44" s="383"/>
      <c r="J44" s="200"/>
      <c r="K44" s="192"/>
      <c r="L44" s="161"/>
      <c r="M44" s="161"/>
      <c r="N44" s="192"/>
      <c r="O44" s="383"/>
      <c r="P44" s="57"/>
    </row>
    <row r="45" spans="2:21" ht="15.75" thickBot="1" x14ac:dyDescent="0.3">
      <c r="B45" s="200"/>
      <c r="C45" s="192"/>
      <c r="D45" s="161"/>
      <c r="E45" s="161"/>
      <c r="F45" s="388"/>
      <c r="G45" s="349"/>
      <c r="H45" s="67"/>
      <c r="J45" s="200"/>
      <c r="K45" s="192"/>
      <c r="L45" s="161"/>
      <c r="M45" s="161"/>
      <c r="N45" s="388"/>
      <c r="O45" s="349"/>
      <c r="S45" s="16"/>
    </row>
    <row r="46" spans="2:21" ht="15.75" thickBot="1" x14ac:dyDescent="0.3">
      <c r="B46" s="374" t="s">
        <v>175</v>
      </c>
      <c r="C46" s="394" t="s">
        <v>523</v>
      </c>
      <c r="D46" s="393"/>
      <c r="E46" s="392"/>
      <c r="F46" s="390"/>
      <c r="G46" s="391" t="str">
        <f>IF(ISNUMBER(G45),G44/G45," ")</f>
        <v xml:space="preserve"> </v>
      </c>
      <c r="H46" s="67"/>
      <c r="J46" s="374" t="s">
        <v>699</v>
      </c>
      <c r="K46" s="395" t="s">
        <v>523</v>
      </c>
      <c r="L46" s="396"/>
      <c r="M46" s="375"/>
      <c r="N46" s="389">
        <f>SUM(N32:N45)</f>
        <v>295020</v>
      </c>
      <c r="O46" s="387">
        <f>IF(ISNUMBER(N46),N46/43560," ")</f>
        <v>6.7727272727272725</v>
      </c>
      <c r="P46" s="68"/>
      <c r="S46" s="68"/>
    </row>
    <row r="47" spans="2:21" ht="15.75" thickBot="1" x14ac:dyDescent="0.3">
      <c r="J47" s="543" t="s">
        <v>700</v>
      </c>
      <c r="K47" s="395"/>
      <c r="L47" s="396"/>
      <c r="M47" s="462"/>
      <c r="N47" s="389"/>
      <c r="O47" s="387">
        <v>13</v>
      </c>
    </row>
    <row r="48" spans="2:21" ht="15.75" thickBot="1" x14ac:dyDescent="0.3">
      <c r="J48" s="374" t="s">
        <v>698</v>
      </c>
      <c r="K48" s="461" t="s">
        <v>620</v>
      </c>
      <c r="L48" s="396"/>
      <c r="M48" s="512"/>
      <c r="N48" s="375"/>
      <c r="O48" s="387">
        <f>IF(ISNUMBER(O47),O46/O47,"")</f>
        <v>0.52097902097902093</v>
      </c>
      <c r="R48" s="57"/>
    </row>
    <row r="49" spans="10:21" ht="15.75" thickBot="1" x14ac:dyDescent="0.3">
      <c r="J49" s="374" t="s">
        <v>540</v>
      </c>
      <c r="K49" s="513" t="s">
        <v>619</v>
      </c>
      <c r="L49" s="514"/>
      <c r="M49" s="515"/>
      <c r="N49" s="516"/>
      <c r="O49" s="511">
        <f>O48*100</f>
        <v>52.097902097902093</v>
      </c>
      <c r="Q49" s="13"/>
      <c r="R49" s="57"/>
      <c r="S49" s="57"/>
    </row>
    <row r="50" spans="10:21" s="507" customFormat="1" x14ac:dyDescent="0.25">
      <c r="J50" s="509"/>
      <c r="K50" s="510"/>
      <c r="O50" s="523"/>
      <c r="Q50" s="508"/>
      <c r="U50" s="509"/>
    </row>
    <row r="51" spans="10:21" x14ac:dyDescent="0.25">
      <c r="S51" s="57"/>
    </row>
    <row r="52" spans="10:21" x14ac:dyDescent="0.25">
      <c r="J52" s="67"/>
      <c r="K52" s="67"/>
    </row>
    <row r="53" spans="10:21" x14ac:dyDescent="0.25">
      <c r="J53" s="67"/>
      <c r="K53" s="67"/>
    </row>
  </sheetData>
  <sheetProtection algorithmName="SHA-512" hashValue="kGE7SlzpKk/E+5SIrA+Z2+Z2gpRdZNWRWGa1UpLeFCyhDO3HS9RAkpqpnsVFm68cCWLfIFrmEHcOry9ajFcKxQ==" saltValue="03zFWGk8z8bZyxhWszz70w==" spinCount="100000" sheet="1" objects="1" scenarios="1" selectLockedCells="1"/>
  <mergeCells count="11">
    <mergeCell ref="B10:C10"/>
    <mergeCell ref="B12:B13"/>
    <mergeCell ref="C12:C13"/>
    <mergeCell ref="J12:J13"/>
    <mergeCell ref="K12:K13"/>
    <mergeCell ref="B7:D7"/>
    <mergeCell ref="C1:E1"/>
    <mergeCell ref="K1:M1"/>
    <mergeCell ref="B4:D4"/>
    <mergeCell ref="B5:D5"/>
    <mergeCell ref="B6:D6"/>
  </mergeCells>
  <pageMargins left="0.7" right="0.7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E619-FAC5-4EBD-872E-8BE93DBBC5B1}">
  <sheetPr codeName="Sheet28"/>
  <dimension ref="A1:P42"/>
  <sheetViews>
    <sheetView topLeftCell="A9" zoomScaleNormal="100" workbookViewId="0">
      <selection activeCell="M31" sqref="M31"/>
    </sheetView>
  </sheetViews>
  <sheetFormatPr defaultColWidth="8.85546875" defaultRowHeight="15" x14ac:dyDescent="0.25"/>
  <cols>
    <col min="1" max="1" width="8.85546875" style="13"/>
    <col min="2" max="2" width="10.42578125" style="13" customWidth="1"/>
    <col min="3" max="3" width="9" style="13" bestFit="1" customWidth="1"/>
    <col min="4" max="4" width="11" style="13" customWidth="1"/>
    <col min="5" max="5" width="10.5703125" style="13" customWidth="1"/>
    <col min="6" max="6" width="11.7109375" style="13" customWidth="1"/>
    <col min="7" max="7" width="11" style="13" customWidth="1"/>
    <col min="8" max="8" width="11" style="13" bestFit="1" customWidth="1"/>
    <col min="9" max="9" width="10.7109375" style="13" customWidth="1"/>
    <col min="10" max="10" width="10" style="13" customWidth="1"/>
    <col min="11" max="11" width="8.7109375" style="13" customWidth="1"/>
    <col min="12" max="12" width="10.42578125" style="13" customWidth="1"/>
    <col min="13" max="13" width="10.140625" style="13" customWidth="1"/>
    <col min="14" max="14" width="8.42578125" style="13" customWidth="1"/>
    <col min="15" max="15" width="10.85546875" style="13" customWidth="1"/>
    <col min="16" max="16384" width="8.85546875" style="13"/>
  </cols>
  <sheetData>
    <row r="1" spans="1:16" ht="18" x14ac:dyDescent="0.25">
      <c r="A1"/>
      <c r="B1"/>
      <c r="C1"/>
      <c r="D1"/>
      <c r="E1"/>
      <c r="F1"/>
      <c r="G1" s="355" t="s">
        <v>535</v>
      </c>
      <c r="H1" s="355"/>
      <c r="I1" s="355"/>
      <c r="J1"/>
      <c r="K1"/>
      <c r="L1"/>
      <c r="M1"/>
      <c r="N1"/>
      <c r="O1"/>
      <c r="P1"/>
    </row>
    <row r="2" spans="1:16" x14ac:dyDescent="0.25">
      <c r="A2"/>
      <c r="B2"/>
      <c r="C2"/>
      <c r="D2"/>
      <c r="E2" t="s">
        <v>536</v>
      </c>
      <c r="F2"/>
      <c r="G2"/>
      <c r="H2" s="306"/>
      <c r="I2" s="53"/>
      <c r="J2"/>
      <c r="K2"/>
      <c r="L2"/>
      <c r="M2"/>
      <c r="N2"/>
      <c r="O2"/>
      <c r="P2"/>
    </row>
    <row r="3" spans="1:16" x14ac:dyDescent="0.25">
      <c r="A3"/>
      <c r="B3" s="33" t="s">
        <v>165</v>
      </c>
      <c r="C3" s="33"/>
      <c r="D3" s="558"/>
      <c r="E3" s="559"/>
      <c r="F3" s="560"/>
      <c r="G3"/>
      <c r="H3" s="1"/>
      <c r="I3" s="1"/>
      <c r="J3" s="1"/>
      <c r="K3"/>
      <c r="L3"/>
      <c r="M3"/>
      <c r="N3"/>
      <c r="O3"/>
      <c r="P3"/>
    </row>
    <row r="4" spans="1:16" ht="16.5" x14ac:dyDescent="0.3">
      <c r="A4"/>
      <c r="B4" s="33" t="s">
        <v>4</v>
      </c>
      <c r="C4" s="33"/>
      <c r="D4" s="562" t="s">
        <v>76</v>
      </c>
      <c r="E4" s="562"/>
      <c r="F4" s="562"/>
      <c r="G4" s="40" t="s">
        <v>6</v>
      </c>
      <c r="H4" s="40" t="s">
        <v>7</v>
      </c>
      <c r="I4" s="40" t="s">
        <v>468</v>
      </c>
      <c r="J4" s="1"/>
      <c r="K4"/>
      <c r="L4"/>
      <c r="M4"/>
      <c r="N4"/>
      <c r="O4"/>
      <c r="P4"/>
    </row>
    <row r="5" spans="1:16" x14ac:dyDescent="0.25">
      <c r="A5"/>
      <c r="B5" s="33" t="s">
        <v>173</v>
      </c>
      <c r="C5" s="33"/>
      <c r="D5" s="558" t="s">
        <v>509</v>
      </c>
      <c r="E5" s="559"/>
      <c r="F5" s="560"/>
      <c r="G5" s="364">
        <v>32.700000000000003</v>
      </c>
      <c r="H5" s="120">
        <v>87.5</v>
      </c>
      <c r="I5" s="119">
        <v>234</v>
      </c>
    </row>
    <row r="6" spans="1:16" x14ac:dyDescent="0.25">
      <c r="A6"/>
      <c r="B6" s="1" t="s">
        <v>118</v>
      </c>
      <c r="C6" s="1"/>
      <c r="D6" s="558" t="s">
        <v>502</v>
      </c>
      <c r="E6" s="559"/>
      <c r="F6" s="560"/>
      <c r="G6" s="13" t="s">
        <v>537</v>
      </c>
      <c r="L6" s="2"/>
      <c r="M6" s="32"/>
    </row>
    <row r="7" spans="1:16" x14ac:dyDescent="0.25">
      <c r="A7" s="306"/>
      <c r="B7" s="1" t="s">
        <v>164</v>
      </c>
      <c r="C7" s="1"/>
      <c r="D7" s="570"/>
      <c r="E7" s="571"/>
      <c r="F7"/>
      <c r="G7"/>
      <c r="H7" s="53"/>
      <c r="I7"/>
      <c r="J7"/>
      <c r="K7"/>
      <c r="L7"/>
      <c r="M7"/>
      <c r="N7"/>
      <c r="O7"/>
      <c r="P7"/>
    </row>
    <row r="8" spans="1:16" x14ac:dyDescent="0.25">
      <c r="A8"/>
      <c r="B8" s="1" t="s">
        <v>121</v>
      </c>
      <c r="C8" s="1"/>
      <c r="D8" s="368">
        <v>43305</v>
      </c>
      <c r="E8" s="346"/>
      <c r="F8"/>
      <c r="G8"/>
      <c r="H8"/>
      <c r="I8"/>
      <c r="J8"/>
      <c r="K8"/>
      <c r="L8"/>
      <c r="M8"/>
      <c r="N8"/>
      <c r="O8"/>
      <c r="P8"/>
    </row>
    <row r="9" spans="1:16" x14ac:dyDescent="0.25">
      <c r="A9"/>
      <c r="B9" s="33" t="s">
        <v>122</v>
      </c>
      <c r="C9" s="33"/>
      <c r="D9" s="558" t="s">
        <v>2</v>
      </c>
      <c r="E9" s="560"/>
      <c r="F9"/>
      <c r="G9"/>
      <c r="H9"/>
      <c r="I9"/>
      <c r="J9"/>
      <c r="K9"/>
      <c r="L9"/>
      <c r="M9"/>
      <c r="N9"/>
      <c r="O9"/>
      <c r="P9"/>
    </row>
    <row r="10" spans="1:16" x14ac:dyDescent="0.25">
      <c r="A10" s="285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x14ac:dyDescent="0.25">
      <c r="A11"/>
      <c r="B11"/>
      <c r="C11"/>
      <c r="D11"/>
      <c r="E11"/>
      <c r="F11"/>
      <c r="G11" s="569" t="s">
        <v>129</v>
      </c>
      <c r="H11" s="569"/>
      <c r="I11"/>
      <c r="J11"/>
      <c r="K11"/>
      <c r="L11"/>
      <c r="M11"/>
      <c r="N11"/>
      <c r="O11"/>
      <c r="P11"/>
    </row>
    <row r="12" spans="1:16" ht="16.5" x14ac:dyDescent="0.3">
      <c r="A12" s="285" t="s">
        <v>130</v>
      </c>
      <c r="B12" s="48" t="s">
        <v>131</v>
      </c>
      <c r="C12" s="48"/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1:16" ht="17.25" thickBot="1" x14ac:dyDescent="0.35">
      <c r="A13"/>
      <c r="B13" s="48"/>
      <c r="C13" s="48"/>
      <c r="D13" s="131"/>
      <c r="E13"/>
      <c r="F13"/>
      <c r="G13"/>
      <c r="H13"/>
      <c r="I13"/>
      <c r="J13"/>
      <c r="K13"/>
      <c r="L13"/>
      <c r="M13"/>
      <c r="N13"/>
      <c r="O13"/>
      <c r="P13"/>
    </row>
    <row r="14" spans="1:16" x14ac:dyDescent="0.25">
      <c r="A14"/>
      <c r="B14" s="144" t="s">
        <v>132</v>
      </c>
      <c r="C14" s="369" t="s">
        <v>133</v>
      </c>
      <c r="D14" s="521"/>
      <c r="E14" s="356" t="s">
        <v>510</v>
      </c>
      <c r="F14" s="357"/>
      <c r="G14" s="358"/>
      <c r="H14" s="369" t="s">
        <v>511</v>
      </c>
      <c r="I14" s="369" t="s">
        <v>511</v>
      </c>
      <c r="J14" s="138" t="s">
        <v>136</v>
      </c>
      <c r="K14" s="140" t="s">
        <v>135</v>
      </c>
      <c r="L14" s="140" t="s">
        <v>134</v>
      </c>
      <c r="M14" s="140" t="s">
        <v>501</v>
      </c>
      <c r="N14" s="140" t="s">
        <v>137</v>
      </c>
      <c r="O14" s="132" t="s">
        <v>138</v>
      </c>
      <c r="P14"/>
    </row>
    <row r="15" spans="1:16" x14ac:dyDescent="0.25">
      <c r="A15" s="17"/>
      <c r="B15" s="136" t="s">
        <v>512</v>
      </c>
      <c r="C15" s="141" t="s">
        <v>513</v>
      </c>
      <c r="D15" s="359"/>
      <c r="E15" s="220" t="s">
        <v>538</v>
      </c>
      <c r="F15" s="220"/>
      <c r="G15" s="360"/>
      <c r="H15" s="141" t="s">
        <v>501</v>
      </c>
      <c r="I15" s="141" t="s">
        <v>501</v>
      </c>
      <c r="J15" s="141" t="s">
        <v>140</v>
      </c>
      <c r="K15" s="141"/>
      <c r="L15" s="141" t="s">
        <v>139</v>
      </c>
      <c r="M15" s="141" t="s">
        <v>141</v>
      </c>
      <c r="N15" s="141" t="s">
        <v>514</v>
      </c>
      <c r="O15" s="133" t="s">
        <v>143</v>
      </c>
      <c r="P15"/>
    </row>
    <row r="16" spans="1:16" ht="15.75" thickBot="1" x14ac:dyDescent="0.3">
      <c r="A16"/>
      <c r="B16" s="137"/>
      <c r="C16" s="139" t="s">
        <v>12</v>
      </c>
      <c r="D16" s="361"/>
      <c r="E16" s="362"/>
      <c r="F16" s="362"/>
      <c r="G16" s="363"/>
      <c r="H16" s="139" t="s">
        <v>144</v>
      </c>
      <c r="I16" s="139" t="s">
        <v>686</v>
      </c>
      <c r="J16" s="139"/>
      <c r="K16" s="139" t="s">
        <v>144</v>
      </c>
      <c r="L16" s="139"/>
      <c r="M16" s="139" t="s">
        <v>174</v>
      </c>
      <c r="N16" s="139" t="s">
        <v>12</v>
      </c>
      <c r="O16" s="134" t="s">
        <v>145</v>
      </c>
      <c r="P16"/>
    </row>
    <row r="17" spans="1:16" x14ac:dyDescent="0.25">
      <c r="A17"/>
      <c r="B17" s="195" t="s">
        <v>503</v>
      </c>
      <c r="C17" s="351">
        <v>31.4</v>
      </c>
      <c r="D17" s="196" t="s">
        <v>504</v>
      </c>
      <c r="E17" s="197"/>
      <c r="F17" s="197"/>
      <c r="G17" s="198"/>
      <c r="H17" s="191"/>
      <c r="I17" s="145" t="str">
        <f t="shared" ref="I17:I31" si="0">IF(ISNUMBER(H17),C17* H17/100, " ")</f>
        <v xml:space="preserve"> </v>
      </c>
      <c r="J17" s="191" t="s">
        <v>161</v>
      </c>
      <c r="K17" s="192" t="s">
        <v>505</v>
      </c>
      <c r="L17" s="191" t="s">
        <v>147</v>
      </c>
      <c r="M17" s="199"/>
      <c r="N17" s="135" t="str">
        <f t="shared" ref="N17:N31" si="1">IF(ISNUMBER(I17),I17*M17,"")</f>
        <v/>
      </c>
      <c r="O17" s="156"/>
      <c r="P17"/>
    </row>
    <row r="18" spans="1:16" x14ac:dyDescent="0.25">
      <c r="A18"/>
      <c r="B18" s="195"/>
      <c r="C18" s="351">
        <v>31.4</v>
      </c>
      <c r="D18" s="196" t="s">
        <v>515</v>
      </c>
      <c r="E18" s="203"/>
      <c r="F18" s="203"/>
      <c r="G18" s="198"/>
      <c r="H18" s="191">
        <v>90</v>
      </c>
      <c r="I18" s="145">
        <f t="shared" si="0"/>
        <v>28.26</v>
      </c>
      <c r="J18" s="191" t="s">
        <v>161</v>
      </c>
      <c r="K18" s="192" t="s">
        <v>505</v>
      </c>
      <c r="L18" s="191" t="s">
        <v>147</v>
      </c>
      <c r="M18" s="199">
        <v>0.1</v>
      </c>
      <c r="N18" s="135">
        <f t="shared" si="1"/>
        <v>2.8260000000000005</v>
      </c>
      <c r="O18" s="307"/>
      <c r="P18"/>
    </row>
    <row r="19" spans="1:16" x14ac:dyDescent="0.25">
      <c r="A19"/>
      <c r="B19" s="195" t="s">
        <v>506</v>
      </c>
      <c r="C19" s="350">
        <v>25.6</v>
      </c>
      <c r="D19" s="196" t="s">
        <v>507</v>
      </c>
      <c r="E19" s="197"/>
      <c r="F19" s="197"/>
      <c r="G19" s="198"/>
      <c r="H19" s="191"/>
      <c r="I19" s="145" t="str">
        <f t="shared" si="0"/>
        <v xml:space="preserve"> </v>
      </c>
      <c r="J19" s="191" t="s">
        <v>516</v>
      </c>
      <c r="K19" s="192" t="s">
        <v>508</v>
      </c>
      <c r="L19" s="191" t="s">
        <v>147</v>
      </c>
      <c r="M19" s="199"/>
      <c r="N19" s="135" t="str">
        <f t="shared" si="1"/>
        <v/>
      </c>
      <c r="O19" s="156"/>
      <c r="P19"/>
    </row>
    <row r="20" spans="1:16" x14ac:dyDescent="0.25">
      <c r="A20"/>
      <c r="B20" s="195"/>
      <c r="C20" s="350">
        <v>25.6</v>
      </c>
      <c r="D20" s="201" t="s">
        <v>517</v>
      </c>
      <c r="E20" s="202"/>
      <c r="F20" s="203"/>
      <c r="G20" s="204"/>
      <c r="H20" s="192">
        <v>50</v>
      </c>
      <c r="I20" s="145">
        <f t="shared" si="0"/>
        <v>12.8</v>
      </c>
      <c r="J20" s="192" t="s">
        <v>141</v>
      </c>
      <c r="K20" s="192" t="s">
        <v>508</v>
      </c>
      <c r="L20" s="191" t="s">
        <v>147</v>
      </c>
      <c r="M20" s="205">
        <v>0.38</v>
      </c>
      <c r="N20" s="135">
        <f t="shared" si="1"/>
        <v>4.8640000000000008</v>
      </c>
      <c r="O20" s="307"/>
      <c r="P20"/>
    </row>
    <row r="21" spans="1:16" x14ac:dyDescent="0.25">
      <c r="A21"/>
      <c r="B21" s="195"/>
      <c r="C21" s="350">
        <v>25.6</v>
      </c>
      <c r="D21" s="202" t="s">
        <v>518</v>
      </c>
      <c r="E21" s="201"/>
      <c r="F21" s="202"/>
      <c r="G21" s="202"/>
      <c r="H21" s="192">
        <v>30</v>
      </c>
      <c r="I21" s="145">
        <f t="shared" si="0"/>
        <v>7.68</v>
      </c>
      <c r="J21" s="192" t="s">
        <v>146</v>
      </c>
      <c r="K21" s="192" t="s">
        <v>508</v>
      </c>
      <c r="L21" s="191" t="s">
        <v>147</v>
      </c>
      <c r="M21" s="205">
        <v>0.3</v>
      </c>
      <c r="N21" s="135">
        <f t="shared" si="1"/>
        <v>2.3039999999999998</v>
      </c>
      <c r="O21" s="308"/>
      <c r="P21"/>
    </row>
    <row r="22" spans="1:16" x14ac:dyDescent="0.25">
      <c r="A22"/>
      <c r="B22" s="200"/>
      <c r="C22" s="350"/>
      <c r="D22" s="206"/>
      <c r="E22" s="202"/>
      <c r="F22" s="202"/>
      <c r="G22" s="207"/>
      <c r="H22" s="205"/>
      <c r="I22" s="145" t="str">
        <f t="shared" si="0"/>
        <v xml:space="preserve"> </v>
      </c>
      <c r="J22" s="192"/>
      <c r="K22" s="192"/>
      <c r="L22" s="192"/>
      <c r="M22" s="205"/>
      <c r="N22" s="135" t="str">
        <f t="shared" si="1"/>
        <v/>
      </c>
      <c r="O22" s="308"/>
      <c r="P22"/>
    </row>
    <row r="23" spans="1:16" x14ac:dyDescent="0.25">
      <c r="A23"/>
      <c r="B23" s="200"/>
      <c r="C23" s="350"/>
      <c r="D23" s="202"/>
      <c r="E23" s="197"/>
      <c r="F23" s="197"/>
      <c r="G23" s="198"/>
      <c r="H23" s="205"/>
      <c r="I23" s="145" t="str">
        <f t="shared" si="0"/>
        <v xml:space="preserve"> </v>
      </c>
      <c r="J23" s="192"/>
      <c r="K23" s="192"/>
      <c r="L23" s="192"/>
      <c r="M23" s="199"/>
      <c r="N23" s="135" t="str">
        <f t="shared" si="1"/>
        <v/>
      </c>
      <c r="O23" s="308"/>
      <c r="P23"/>
    </row>
    <row r="24" spans="1:16" x14ac:dyDescent="0.25">
      <c r="A24"/>
      <c r="B24" s="200"/>
      <c r="C24" s="350"/>
      <c r="D24" s="202"/>
      <c r="E24" s="197"/>
      <c r="F24" s="197"/>
      <c r="G24" s="198"/>
      <c r="H24" s="205"/>
      <c r="I24" s="145" t="str">
        <f t="shared" si="0"/>
        <v xml:space="preserve"> </v>
      </c>
      <c r="J24" s="192"/>
      <c r="K24" s="192"/>
      <c r="L24" s="192"/>
      <c r="M24" s="199"/>
      <c r="N24" s="135" t="str">
        <f t="shared" si="1"/>
        <v/>
      </c>
      <c r="O24" s="308"/>
      <c r="P24"/>
    </row>
    <row r="25" spans="1:16" x14ac:dyDescent="0.25">
      <c r="A25"/>
      <c r="B25" s="200"/>
      <c r="C25" s="350"/>
      <c r="D25" s="206"/>
      <c r="E25" s="202"/>
      <c r="F25" s="202"/>
      <c r="G25" s="207"/>
      <c r="H25" s="205"/>
      <c r="I25" s="145" t="str">
        <f t="shared" si="0"/>
        <v xml:space="preserve"> </v>
      </c>
      <c r="J25" s="192"/>
      <c r="K25" s="192"/>
      <c r="L25" s="192"/>
      <c r="M25" s="205"/>
      <c r="N25" s="135" t="str">
        <f t="shared" si="1"/>
        <v/>
      </c>
      <c r="O25" s="308"/>
      <c r="P25"/>
    </row>
    <row r="26" spans="1:16" x14ac:dyDescent="0.25">
      <c r="A26"/>
      <c r="B26" s="208"/>
      <c r="C26" s="352"/>
      <c r="D26" s="206"/>
      <c r="E26" s="202"/>
      <c r="F26" s="202"/>
      <c r="G26" s="207"/>
      <c r="H26" s="205"/>
      <c r="I26" s="145" t="str">
        <f t="shared" si="0"/>
        <v xml:space="preserve"> </v>
      </c>
      <c r="J26" s="192"/>
      <c r="K26" s="192"/>
      <c r="L26" s="192"/>
      <c r="M26" s="205"/>
      <c r="N26" s="135" t="str">
        <f t="shared" si="1"/>
        <v/>
      </c>
      <c r="O26" s="308"/>
      <c r="P26"/>
    </row>
    <row r="27" spans="1:16" x14ac:dyDescent="0.25">
      <c r="A27"/>
      <c r="B27" s="208"/>
      <c r="C27" s="352"/>
      <c r="D27" s="206"/>
      <c r="E27" s="202"/>
      <c r="F27" s="202"/>
      <c r="G27" s="207"/>
      <c r="H27" s="205"/>
      <c r="I27" s="145" t="str">
        <f t="shared" si="0"/>
        <v xml:space="preserve"> </v>
      </c>
      <c r="J27" s="192"/>
      <c r="K27" s="192"/>
      <c r="L27" s="192"/>
      <c r="M27" s="205"/>
      <c r="N27" s="135" t="str">
        <f t="shared" si="1"/>
        <v/>
      </c>
      <c r="O27" s="308"/>
      <c r="P27"/>
    </row>
    <row r="28" spans="1:16" x14ac:dyDescent="0.25">
      <c r="A28"/>
      <c r="B28" s="208"/>
      <c r="C28" s="352"/>
      <c r="D28" s="206"/>
      <c r="E28" s="202"/>
      <c r="F28" s="202"/>
      <c r="G28" s="207"/>
      <c r="H28" s="205"/>
      <c r="I28" s="145" t="str">
        <f t="shared" si="0"/>
        <v xml:space="preserve"> </v>
      </c>
      <c r="J28" s="192"/>
      <c r="K28" s="192"/>
      <c r="L28" s="192"/>
      <c r="M28" s="205"/>
      <c r="N28" s="135" t="str">
        <f t="shared" si="1"/>
        <v/>
      </c>
      <c r="O28" s="308"/>
      <c r="P28"/>
    </row>
    <row r="29" spans="1:16" x14ac:dyDescent="0.25">
      <c r="A29"/>
      <c r="B29" s="208"/>
      <c r="C29" s="352"/>
      <c r="D29" s="206"/>
      <c r="E29" s="202"/>
      <c r="F29" s="202"/>
      <c r="G29" s="207"/>
      <c r="H29" s="205"/>
      <c r="I29" s="145" t="str">
        <f t="shared" si="0"/>
        <v xml:space="preserve"> </v>
      </c>
      <c r="J29" s="192"/>
      <c r="K29" s="192"/>
      <c r="L29" s="192"/>
      <c r="M29" s="205"/>
      <c r="N29" s="135" t="str">
        <f t="shared" si="1"/>
        <v/>
      </c>
      <c r="O29" s="308"/>
      <c r="P29"/>
    </row>
    <row r="30" spans="1:16" x14ac:dyDescent="0.25">
      <c r="A30"/>
      <c r="B30" s="208"/>
      <c r="C30" s="352"/>
      <c r="D30" s="206"/>
      <c r="E30" s="202"/>
      <c r="F30" s="202"/>
      <c r="G30" s="207"/>
      <c r="H30" s="205"/>
      <c r="I30" s="145" t="str">
        <f t="shared" si="0"/>
        <v xml:space="preserve"> </v>
      </c>
      <c r="J30" s="192"/>
      <c r="K30" s="192"/>
      <c r="L30" s="192"/>
      <c r="M30" s="205"/>
      <c r="N30" s="135" t="str">
        <f t="shared" si="1"/>
        <v/>
      </c>
      <c r="O30" s="308"/>
      <c r="P30"/>
    </row>
    <row r="31" spans="1:16" ht="15.75" thickBot="1" x14ac:dyDescent="0.3">
      <c r="A31"/>
      <c r="B31" s="208"/>
      <c r="C31" s="352"/>
      <c r="D31" s="206"/>
      <c r="E31" s="202"/>
      <c r="F31" s="202"/>
      <c r="G31" s="207"/>
      <c r="H31" s="205"/>
      <c r="I31" s="145" t="str">
        <f t="shared" si="0"/>
        <v xml:space="preserve"> </v>
      </c>
      <c r="J31" s="192"/>
      <c r="K31" s="192"/>
      <c r="L31" s="192"/>
      <c r="M31" s="205"/>
      <c r="N31" s="135" t="str">
        <f t="shared" si="1"/>
        <v/>
      </c>
      <c r="O31" s="308" t="s">
        <v>145</v>
      </c>
      <c r="P31"/>
    </row>
    <row r="32" spans="1:16" ht="15.75" thickBot="1" x14ac:dyDescent="0.3">
      <c r="A32"/>
      <c r="B32" s="524" t="s">
        <v>148</v>
      </c>
      <c r="C32" s="365">
        <f>C17+C19</f>
        <v>57</v>
      </c>
      <c r="D32" s="525"/>
      <c r="E32" s="526"/>
      <c r="F32" s="525"/>
      <c r="G32" s="525"/>
      <c r="H32" s="526"/>
      <c r="I32" s="148">
        <f>SUM(I17:I31)</f>
        <v>48.74</v>
      </c>
      <c r="J32" s="525"/>
      <c r="K32" s="525"/>
      <c r="L32" s="526"/>
      <c r="M32" s="527" t="s">
        <v>149</v>
      </c>
      <c r="N32" s="142">
        <f>SUM(N17:N31)</f>
        <v>9.9940000000000015</v>
      </c>
      <c r="O32" s="143">
        <f>IF(ISNUMBER(I32),(N32/I32)," ")</f>
        <v>0.20504718916700865</v>
      </c>
      <c r="P32"/>
    </row>
    <row r="33" spans="1:16" x14ac:dyDescent="0.25">
      <c r="A33"/>
      <c r="B33" s="11"/>
      <c r="C33" s="18"/>
      <c r="D33"/>
      <c r="E33" s="18"/>
      <c r="F33"/>
      <c r="G33"/>
      <c r="H33" s="18"/>
      <c r="I33" s="18"/>
      <c r="J33" s="18"/>
      <c r="K33"/>
      <c r="L33"/>
      <c r="M33" s="11"/>
      <c r="N33" s="80"/>
      <c r="O33" s="80"/>
      <c r="P33"/>
    </row>
    <row r="34" spans="1:16" x14ac:dyDescent="0.25">
      <c r="A34" s="522"/>
      <c r="B34"/>
      <c r="C34"/>
      <c r="D34"/>
      <c r="E34"/>
      <c r="F34"/>
      <c r="G34" s="522" t="s">
        <v>150</v>
      </c>
      <c r="H34" s="522"/>
      <c r="I34" s="522"/>
      <c r="J34"/>
      <c r="K34" s="17"/>
      <c r="L34"/>
      <c r="M34"/>
      <c r="N34"/>
      <c r="O34"/>
      <c r="P34"/>
    </row>
    <row r="35" spans="1:16" ht="16.5" x14ac:dyDescent="0.3">
      <c r="A35" s="522" t="s">
        <v>151</v>
      </c>
      <c r="B35" s="48" t="s">
        <v>152</v>
      </c>
      <c r="C35" s="48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7.25" thickBot="1" x14ac:dyDescent="0.35">
      <c r="A36"/>
      <c r="B36" s="48"/>
      <c r="C36" s="48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x14ac:dyDescent="0.25">
      <c r="A37" s="17"/>
      <c r="B37" s="144" t="s">
        <v>153</v>
      </c>
      <c r="C37" s="140" t="s">
        <v>153</v>
      </c>
      <c r="D37" s="152" t="s">
        <v>154</v>
      </c>
      <c r="E37" s="140" t="s">
        <v>154</v>
      </c>
      <c r="F37" s="517" t="s">
        <v>680</v>
      </c>
      <c r="G37" s="138" t="s">
        <v>154</v>
      </c>
      <c r="H37" s="140" t="s">
        <v>138</v>
      </c>
      <c r="I37" s="140" t="s">
        <v>154</v>
      </c>
      <c r="J37" s="519" t="s">
        <v>680</v>
      </c>
      <c r="K37" s="153"/>
      <c r="L37" s="154" t="s">
        <v>156</v>
      </c>
      <c r="M37"/>
      <c r="N37"/>
      <c r="O37"/>
      <c r="P37"/>
    </row>
    <row r="38" spans="1:16" x14ac:dyDescent="0.25">
      <c r="A38" s="17"/>
      <c r="B38" s="136" t="s">
        <v>157</v>
      </c>
      <c r="C38" s="141" t="s">
        <v>157</v>
      </c>
      <c r="D38" s="141" t="s">
        <v>158</v>
      </c>
      <c r="E38" s="141" t="s">
        <v>158</v>
      </c>
      <c r="F38" s="518" t="s">
        <v>155</v>
      </c>
      <c r="G38" s="141" t="s">
        <v>141</v>
      </c>
      <c r="H38" s="141" t="s">
        <v>143</v>
      </c>
      <c r="I38" s="141" t="s">
        <v>142</v>
      </c>
      <c r="J38" s="518" t="s">
        <v>155</v>
      </c>
      <c r="K38" s="151" t="s">
        <v>149</v>
      </c>
      <c r="L38" s="155" t="s">
        <v>160</v>
      </c>
      <c r="M38"/>
      <c r="N38"/>
      <c r="O38"/>
      <c r="P38"/>
    </row>
    <row r="39" spans="1:16" x14ac:dyDescent="0.25">
      <c r="A39"/>
      <c r="B39" s="147"/>
      <c r="C39" s="145" t="s">
        <v>161</v>
      </c>
      <c r="D39" s="145"/>
      <c r="E39" s="150" t="s">
        <v>162</v>
      </c>
      <c r="F39" s="518" t="s">
        <v>157</v>
      </c>
      <c r="G39" s="145"/>
      <c r="H39" s="145"/>
      <c r="I39" s="145"/>
      <c r="J39" s="518" t="s">
        <v>159</v>
      </c>
      <c r="K39" s="146"/>
      <c r="L39" s="156" t="s">
        <v>141</v>
      </c>
      <c r="M39"/>
      <c r="N39"/>
      <c r="O39"/>
      <c r="P39"/>
    </row>
    <row r="40" spans="1:16" ht="18" thickBot="1" x14ac:dyDescent="0.3">
      <c r="A40"/>
      <c r="B40" s="157" t="s">
        <v>163</v>
      </c>
      <c r="C40" s="149" t="s">
        <v>12</v>
      </c>
      <c r="D40" s="149" t="s">
        <v>163</v>
      </c>
      <c r="E40" s="149" t="s">
        <v>12</v>
      </c>
      <c r="F40" s="149" t="s">
        <v>12</v>
      </c>
      <c r="G40" s="149"/>
      <c r="H40" s="149"/>
      <c r="I40" s="149" t="s">
        <v>12</v>
      </c>
      <c r="J40" s="149" t="s">
        <v>12</v>
      </c>
      <c r="K40" s="149" t="s">
        <v>12</v>
      </c>
      <c r="L40" s="158" t="s">
        <v>145</v>
      </c>
      <c r="M40"/>
      <c r="N40"/>
      <c r="O40"/>
      <c r="P40"/>
    </row>
    <row r="41" spans="1:16" ht="15.75" thickBot="1" x14ac:dyDescent="0.3">
      <c r="A41"/>
      <c r="B41" s="367">
        <f>C41*43560</f>
        <v>2443716</v>
      </c>
      <c r="C41" s="305">
        <f>57-0.9</f>
        <v>56.1</v>
      </c>
      <c r="D41" s="353">
        <f>E41*43560</f>
        <v>1142143.2000000002</v>
      </c>
      <c r="E41" s="366">
        <f>26.78-0.56</f>
        <v>26.220000000000002</v>
      </c>
      <c r="F41" s="142">
        <f>IF(ISNUMBER(C41),C41-E41,"")</f>
        <v>29.88</v>
      </c>
      <c r="G41" s="397">
        <v>0.85</v>
      </c>
      <c r="H41" s="142">
        <f>O32</f>
        <v>0.20504718916700865</v>
      </c>
      <c r="I41" s="142">
        <f>IF(ISNUMBER(E41),E41*G41,"")</f>
        <v>22.287000000000003</v>
      </c>
      <c r="J41" s="142">
        <f>IF(ISNUMBER(F41),F41*H41,"")</f>
        <v>6.1268100123102185</v>
      </c>
      <c r="K41" s="142">
        <f>IF(ISNUMBER(I41+J41),I41+J41,"")</f>
        <v>28.413810012310222</v>
      </c>
      <c r="L41" s="497">
        <f>IF(ISNUMBER(C41),(K41/C41), "")</f>
        <v>0.5064850269574015</v>
      </c>
      <c r="M41"/>
      <c r="N41"/>
      <c r="O41"/>
      <c r="P41"/>
    </row>
    <row r="42" spans="1:16" x14ac:dyDescent="0.25">
      <c r="C42" s="13" t="s">
        <v>128</v>
      </c>
      <c r="J42" s="13" t="s">
        <v>519</v>
      </c>
    </row>
  </sheetData>
  <sheetProtection algorithmName="SHA-512" hashValue="aCTT5qBA1MeIPvn7WHbrUhFOZGkd0oDYkNB8P9eXcs8EkrUIzuOA8+LZ5c+xD3HPURaDlNb4/srwsVn7gAkTaA==" saltValue="EU58gcxMBKfjdGF+90leYA==" spinCount="100000" sheet="1" selectLockedCells="1"/>
  <mergeCells count="7">
    <mergeCell ref="G11:H11"/>
    <mergeCell ref="D3:F3"/>
    <mergeCell ref="D4:F4"/>
    <mergeCell ref="D5:F5"/>
    <mergeCell ref="D6:F6"/>
    <mergeCell ref="D7:E7"/>
    <mergeCell ref="D9:E9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H46"/>
  <sheetViews>
    <sheetView zoomScaleNormal="100" workbookViewId="0">
      <selection activeCell="C12" sqref="C12"/>
    </sheetView>
  </sheetViews>
  <sheetFormatPr defaultColWidth="9.28515625" defaultRowHeight="15" x14ac:dyDescent="0.25"/>
  <cols>
    <col min="1" max="1" width="10.7109375" style="2" customWidth="1"/>
    <col min="2" max="2" width="11.28515625" style="2" customWidth="1"/>
    <col min="3" max="8" width="10.7109375" style="2" customWidth="1"/>
    <col min="9" max="14" width="9.28515625" style="2"/>
    <col min="15" max="15" width="9.140625" style="2" customWidth="1"/>
    <col min="16" max="20" width="9.28515625" style="2"/>
    <col min="21" max="22" width="9.140625" style="2" customWidth="1"/>
    <col min="23" max="16384" width="9.28515625" style="2"/>
  </cols>
  <sheetData>
    <row r="1" spans="1:8" ht="19.5" x14ac:dyDescent="0.3">
      <c r="A1" s="1"/>
      <c r="B1" s="168"/>
      <c r="C1" s="573" t="s">
        <v>119</v>
      </c>
      <c r="D1" s="573"/>
      <c r="E1" s="573"/>
      <c r="F1" s="573"/>
      <c r="G1" s="168"/>
      <c r="H1" s="168"/>
    </row>
    <row r="2" spans="1:8" x14ac:dyDescent="0.25">
      <c r="A2" s="1"/>
      <c r="B2" s="1"/>
      <c r="C2" s="1"/>
      <c r="D2" s="26"/>
      <c r="E2" s="1"/>
      <c r="F2" s="1"/>
      <c r="G2" s="1"/>
      <c r="H2" s="1"/>
    </row>
    <row r="3" spans="1:8" x14ac:dyDescent="0.25">
      <c r="A3" s="113" t="s">
        <v>0</v>
      </c>
      <c r="B3" s="296" t="s">
        <v>1</v>
      </c>
      <c r="C3" s="123"/>
      <c r="D3" s="1"/>
      <c r="E3" s="1"/>
      <c r="F3" s="106" t="s">
        <v>117</v>
      </c>
      <c r="G3" s="286">
        <v>1.1100000000000001</v>
      </c>
      <c r="H3" s="113" t="s">
        <v>12</v>
      </c>
    </row>
    <row r="4" spans="1:8" x14ac:dyDescent="0.25">
      <c r="A4" s="113" t="s">
        <v>4</v>
      </c>
      <c r="B4" s="295" t="s">
        <v>5</v>
      </c>
      <c r="C4" s="160"/>
      <c r="D4" s="1"/>
      <c r="E4" s="1"/>
      <c r="F4" s="106" t="s">
        <v>116</v>
      </c>
      <c r="G4" s="287">
        <v>0.45</v>
      </c>
      <c r="H4" s="113"/>
    </row>
    <row r="5" spans="1:8" ht="15" customHeight="1" x14ac:dyDescent="0.25">
      <c r="A5" s="113" t="s">
        <v>118</v>
      </c>
      <c r="B5" s="295"/>
      <c r="C5" s="160"/>
      <c r="D5" s="1"/>
      <c r="E5" s="1"/>
      <c r="F5" s="171" t="s">
        <v>115</v>
      </c>
      <c r="G5" s="287">
        <v>5.9</v>
      </c>
      <c r="H5" s="113" t="s">
        <v>13</v>
      </c>
    </row>
    <row r="6" spans="1:8" ht="15" customHeight="1" x14ac:dyDescent="0.25">
      <c r="A6" s="164" t="s">
        <v>164</v>
      </c>
      <c r="B6" s="296" t="s">
        <v>3</v>
      </c>
      <c r="C6" s="123"/>
    </row>
    <row r="7" spans="1:8" ht="15" customHeight="1" x14ac:dyDescent="0.25">
      <c r="A7" s="113" t="s">
        <v>10</v>
      </c>
      <c r="B7" s="295" t="s">
        <v>11</v>
      </c>
      <c r="C7" s="160"/>
    </row>
    <row r="8" spans="1:8" ht="15" customHeight="1" x14ac:dyDescent="0.25">
      <c r="A8" s="113" t="s">
        <v>121</v>
      </c>
      <c r="B8" s="298">
        <v>43060</v>
      </c>
      <c r="C8" s="160"/>
      <c r="D8" s="251"/>
      <c r="E8" s="252"/>
      <c r="F8" s="1"/>
      <c r="G8" s="1"/>
      <c r="H8" s="1"/>
    </row>
    <row r="9" spans="1:8" ht="15" customHeight="1" x14ac:dyDescent="0.25">
      <c r="A9" s="113" t="s">
        <v>122</v>
      </c>
      <c r="B9" s="296" t="s">
        <v>2</v>
      </c>
      <c r="C9" s="160"/>
      <c r="F9" s="163" t="s">
        <v>380</v>
      </c>
      <c r="G9" s="163" t="s">
        <v>381</v>
      </c>
      <c r="H9" s="163" t="s">
        <v>468</v>
      </c>
    </row>
    <row r="10" spans="1:8" x14ac:dyDescent="0.25">
      <c r="A10" s="113" t="s">
        <v>173</v>
      </c>
      <c r="B10" s="295" t="s">
        <v>8</v>
      </c>
      <c r="C10" s="160"/>
      <c r="F10" s="119">
        <v>31.27</v>
      </c>
      <c r="G10" s="119">
        <v>86.28</v>
      </c>
      <c r="H10" s="119">
        <v>297</v>
      </c>
    </row>
    <row r="11" spans="1:8" x14ac:dyDescent="0.25">
      <c r="A11" s="112" t="s">
        <v>9</v>
      </c>
      <c r="B11" s="112"/>
      <c r="C11" s="112" t="str">
        <f>'[1]All coefficients'!B57</f>
        <v>Andalusia 3 W</v>
      </c>
      <c r="D11" s="1"/>
      <c r="E11" s="1"/>
      <c r="F11" s="45">
        <v>31.306699999999999</v>
      </c>
      <c r="G11" s="45">
        <v>86.522199999999998</v>
      </c>
      <c r="H11" s="34">
        <v>250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2"/>
      <c r="C15" s="1"/>
      <c r="D15" s="574" t="s">
        <v>456</v>
      </c>
      <c r="E15" s="574"/>
      <c r="F15" s="574"/>
      <c r="G15" s="159"/>
      <c r="H15" s="1"/>
    </row>
    <row r="16" spans="1:8" x14ac:dyDescent="0.25">
      <c r="A16" s="1"/>
      <c r="B16" s="10" t="s">
        <v>14</v>
      </c>
      <c r="C16" s="12"/>
      <c r="D16" s="12" t="s">
        <v>15</v>
      </c>
      <c r="E16" s="22" t="s">
        <v>16</v>
      </c>
      <c r="F16" s="22" t="s">
        <v>17</v>
      </c>
      <c r="G16" s="10" t="s">
        <v>18</v>
      </c>
      <c r="H16" s="6"/>
    </row>
    <row r="17" spans="1:8" ht="15" customHeight="1" x14ac:dyDescent="0.25">
      <c r="A17" s="1"/>
      <c r="B17" s="183" t="s">
        <v>19</v>
      </c>
      <c r="C17" s="181" t="s">
        <v>20</v>
      </c>
      <c r="D17" s="181" t="s">
        <v>21</v>
      </c>
      <c r="E17" s="181" t="s">
        <v>22</v>
      </c>
      <c r="F17" s="181" t="s">
        <v>23</v>
      </c>
      <c r="G17" s="181" t="s">
        <v>24</v>
      </c>
      <c r="H17" s="6"/>
    </row>
    <row r="18" spans="1:8" ht="15" customHeight="1" x14ac:dyDescent="0.25">
      <c r="A18" s="4"/>
      <c r="B18" s="9" t="s">
        <v>25</v>
      </c>
      <c r="C18" s="9" t="s">
        <v>26</v>
      </c>
      <c r="D18" s="114" t="s">
        <v>27</v>
      </c>
      <c r="E18" s="114" t="s">
        <v>26</v>
      </c>
      <c r="F18" s="115"/>
      <c r="G18" s="114" t="s">
        <v>27</v>
      </c>
      <c r="H18" s="1"/>
    </row>
    <row r="19" spans="1:8" x14ac:dyDescent="0.25">
      <c r="A19" s="4"/>
      <c r="B19" s="6">
        <v>2</v>
      </c>
      <c r="C19" s="10">
        <f>G5</f>
        <v>5.9</v>
      </c>
      <c r="D19" s="22">
        <v>21.61</v>
      </c>
      <c r="E19" s="22">
        <v>1.72</v>
      </c>
      <c r="F19" s="110">
        <v>0.55968101839997075</v>
      </c>
      <c r="G19" s="22">
        <f t="shared" ref="G19:G25" si="0">D19/(C19+E19)^F19</f>
        <v>6.9349176821531016</v>
      </c>
      <c r="H19" s="1"/>
    </row>
    <row r="20" spans="1:8" x14ac:dyDescent="0.25">
      <c r="A20" s="4"/>
      <c r="B20" s="6">
        <v>5</v>
      </c>
      <c r="C20" s="10">
        <f t="shared" ref="C20:C25" si="1">C19</f>
        <v>5.9</v>
      </c>
      <c r="D20" s="22">
        <v>29.14</v>
      </c>
      <c r="E20" s="22">
        <v>2.2400000000000002</v>
      </c>
      <c r="F20" s="110">
        <v>0.59349108417904572</v>
      </c>
      <c r="G20" s="22">
        <f t="shared" si="0"/>
        <v>8.3954133212497588</v>
      </c>
      <c r="H20" s="1"/>
    </row>
    <row r="21" spans="1:8" x14ac:dyDescent="0.25">
      <c r="A21" s="4"/>
      <c r="B21" s="6">
        <v>10</v>
      </c>
      <c r="C21" s="10">
        <f t="shared" si="1"/>
        <v>5.9</v>
      </c>
      <c r="D21" s="22">
        <v>32.840000000000003</v>
      </c>
      <c r="E21" s="22">
        <v>2.09</v>
      </c>
      <c r="F21" s="110">
        <v>0.59196918288288991</v>
      </c>
      <c r="G21" s="22">
        <f t="shared" si="0"/>
        <v>9.5967298387331539</v>
      </c>
      <c r="H21" s="1"/>
    </row>
    <row r="22" spans="1:8" x14ac:dyDescent="0.25">
      <c r="A22" s="1"/>
      <c r="B22" s="6">
        <v>25</v>
      </c>
      <c r="C22" s="10">
        <f t="shared" si="1"/>
        <v>5.9</v>
      </c>
      <c r="D22" s="22">
        <v>37.020000000000003</v>
      </c>
      <c r="E22" s="22">
        <v>2.1</v>
      </c>
      <c r="F22" s="111">
        <v>0.57899278921535058</v>
      </c>
      <c r="G22" s="22">
        <f t="shared" si="0"/>
        <v>11.105901669004798</v>
      </c>
      <c r="H22" s="1"/>
    </row>
    <row r="23" spans="1:8" x14ac:dyDescent="0.25">
      <c r="A23" s="1"/>
      <c r="B23" s="6">
        <v>50</v>
      </c>
      <c r="C23" s="10">
        <f t="shared" si="1"/>
        <v>5.9</v>
      </c>
      <c r="D23" s="22">
        <v>36.67</v>
      </c>
      <c r="E23" s="22">
        <v>1.47</v>
      </c>
      <c r="F23" s="110">
        <v>0.54719082564913202</v>
      </c>
      <c r="G23" s="22">
        <f t="shared" si="0"/>
        <v>12.292512513240609</v>
      </c>
      <c r="H23" s="1"/>
    </row>
    <row r="24" spans="1:8" x14ac:dyDescent="0.25">
      <c r="A24" s="1"/>
      <c r="B24" s="6">
        <v>100</v>
      </c>
      <c r="C24" s="10">
        <f t="shared" si="1"/>
        <v>5.9</v>
      </c>
      <c r="D24" s="22">
        <v>35.46</v>
      </c>
      <c r="E24" s="22">
        <v>0.84</v>
      </c>
      <c r="F24" s="110">
        <v>0.5106596492553217</v>
      </c>
      <c r="G24" s="22">
        <f t="shared" si="0"/>
        <v>13.383680460032956</v>
      </c>
      <c r="H24" s="1"/>
    </row>
    <row r="25" spans="1:8" x14ac:dyDescent="0.25">
      <c r="A25" s="1"/>
      <c r="B25" s="6">
        <v>200</v>
      </c>
      <c r="C25" s="10">
        <f t="shared" si="1"/>
        <v>5.9</v>
      </c>
      <c r="D25" s="22">
        <v>35.18</v>
      </c>
      <c r="E25" s="22">
        <v>0.43</v>
      </c>
      <c r="F25" s="110">
        <v>0.48060343062251265</v>
      </c>
      <c r="G25" s="22">
        <f t="shared" si="0"/>
        <v>14.492338279855876</v>
      </c>
      <c r="H25" s="1"/>
    </row>
    <row r="26" spans="1:8" x14ac:dyDescent="0.25">
      <c r="A26" s="1"/>
      <c r="B26" s="6"/>
      <c r="C26" s="10"/>
      <c r="D26" s="107"/>
      <c r="E26" s="4"/>
      <c r="F26" s="253"/>
      <c r="G26" s="116"/>
      <c r="H26" s="1"/>
    </row>
    <row r="27" spans="1:8" x14ac:dyDescent="0.25">
      <c r="A27" s="12"/>
      <c r="B27" s="12"/>
      <c r="C27" s="1"/>
      <c r="D27" s="572" t="s">
        <v>28</v>
      </c>
      <c r="E27" s="572"/>
      <c r="F27" s="572"/>
      <c r="G27" s="12"/>
      <c r="H27" s="12"/>
    </row>
    <row r="28" spans="1:8" x14ac:dyDescent="0.25">
      <c r="A28" s="12"/>
      <c r="B28" s="12"/>
      <c r="C28" s="12"/>
      <c r="D28" s="12"/>
      <c r="E28" s="10" t="s">
        <v>120</v>
      </c>
      <c r="F28" s="12"/>
      <c r="G28" s="12"/>
      <c r="H28" s="12"/>
    </row>
    <row r="29" spans="1:8" x14ac:dyDescent="0.25">
      <c r="A29" s="106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66" t="s">
        <v>29</v>
      </c>
      <c r="B30" s="9" t="s">
        <v>385</v>
      </c>
      <c r="C30" s="9" t="s">
        <v>385</v>
      </c>
      <c r="D30" s="9" t="s">
        <v>385</v>
      </c>
      <c r="E30" s="9" t="s">
        <v>385</v>
      </c>
      <c r="F30" s="9" t="s">
        <v>385</v>
      </c>
      <c r="G30" s="9" t="s">
        <v>385</v>
      </c>
      <c r="H30" s="9" t="s">
        <v>385</v>
      </c>
    </row>
    <row r="31" spans="1:8" ht="15" customHeight="1" x14ac:dyDescent="0.25">
      <c r="A31" s="1">
        <v>5</v>
      </c>
      <c r="B31" s="10">
        <f>$D$19/(A31+$E$19)^$F$19</f>
        <v>7.4403247125077705</v>
      </c>
      <c r="C31" s="10">
        <f>$D$20/(A31+$E$20)^$F$20</f>
        <v>8.999997186439181</v>
      </c>
      <c r="D31" s="10">
        <f>$D$21/(A31+$E$21)^$F$21</f>
        <v>10.300226898954667</v>
      </c>
      <c r="E31" s="10">
        <f>$D$22/(A31+$E$22)^$F$22</f>
        <v>11.90046602366685</v>
      </c>
      <c r="F31" s="10">
        <f>$D$23/(A31+$E$23)^$F$23</f>
        <v>13.200534822581542</v>
      </c>
      <c r="G31" s="10">
        <f>$D$24/(A31+$E$24)^$F$24</f>
        <v>14.40000409420367</v>
      </c>
      <c r="H31" s="10">
        <f>$D$25/(A31+$E$25)^$F$25</f>
        <v>15.600859160509021</v>
      </c>
    </row>
    <row r="32" spans="1:8" x14ac:dyDescent="0.25">
      <c r="A32" s="1">
        <v>10</v>
      </c>
      <c r="B32" s="10">
        <f>$D$19/(A32+$E$19)^$F$19</f>
        <v>5.4499971175319022</v>
      </c>
      <c r="C32" s="10">
        <f>$D$20/(A32+$E$20)^$F$20</f>
        <v>6.5902361097126176</v>
      </c>
      <c r="D32" s="10">
        <f>$D$21/(A32+$E$21)^$F$21</f>
        <v>7.5100034341312849</v>
      </c>
      <c r="E32" s="10">
        <f>$D$22/(A32+$E$22)^$F$22</f>
        <v>8.7400012095160307</v>
      </c>
      <c r="F32" s="10">
        <f>$D$23/(A32+$E$23)^$F$23</f>
        <v>9.6500047805736973</v>
      </c>
      <c r="G32" s="10">
        <f>$D$24/(A32+$E$24)^$F$24</f>
        <v>10.500042116100534</v>
      </c>
      <c r="H32" s="10">
        <f>$D$25/(A32+$E$25)^$F$25</f>
        <v>11.400001359882918</v>
      </c>
    </row>
    <row r="33" spans="1:8" x14ac:dyDescent="0.25">
      <c r="A33" s="1">
        <v>15</v>
      </c>
      <c r="B33" s="10">
        <f>$D$19/(A33+$E$19)^$F$19</f>
        <v>4.4671716845131204</v>
      </c>
      <c r="C33" s="10">
        <f>$D$20/(A33+$E$20)^$F$20</f>
        <v>5.3779369643806429</v>
      </c>
      <c r="D33" s="10">
        <f>$D$21/(A33+$E$21)^$F$21</f>
        <v>6.1186813551970296</v>
      </c>
      <c r="E33" s="10">
        <f>$D$22/(A33+$E$22)^$F$22</f>
        <v>7.1538619857941299</v>
      </c>
      <c r="F33" s="10">
        <f>$D$23/(A33+$E$23)^$F$23</f>
        <v>7.9167573669011624</v>
      </c>
      <c r="G33" s="10">
        <f>$D$24/(A33+$E$24)^$F$24</f>
        <v>8.651116754696357</v>
      </c>
      <c r="H33" s="10">
        <f>$D$25/(A33+$E$25)^$F$25</f>
        <v>9.4441547390074323</v>
      </c>
    </row>
    <row r="34" spans="1:8" x14ac:dyDescent="0.25">
      <c r="A34" s="1">
        <v>30</v>
      </c>
      <c r="B34" s="10">
        <f>$D$19/(A34+$E$19)^$F$19</f>
        <v>3.1216706739944677</v>
      </c>
      <c r="C34" s="10">
        <f>$D$20/(A34+$E$20)^$F$20</f>
        <v>3.7091170936472402</v>
      </c>
      <c r="D34" s="10">
        <f>$D$21/(A34+$E$21)^$F$21</f>
        <v>4.2138463700983078</v>
      </c>
      <c r="E34" s="10">
        <f>$D$22/(A34+$E$22)^$F$22</f>
        <v>4.967991724507538</v>
      </c>
      <c r="F34" s="10">
        <f>$D$23/(A34+$E$23)^$F$23</f>
        <v>5.554891166091168</v>
      </c>
      <c r="G34" s="10">
        <f>$D$24/(A34+$E$24)^$F$24</f>
        <v>6.1561346405212651</v>
      </c>
      <c r="H34" s="10">
        <f>$D$25/(A34+$E$25)^$F$25</f>
        <v>6.8142149371774634</v>
      </c>
    </row>
    <row r="35" spans="1:8" x14ac:dyDescent="0.25">
      <c r="A35" s="1">
        <v>60</v>
      </c>
      <c r="B35" s="10">
        <f>$D$19/(A35+$E$19)^$F$19</f>
        <v>2.1507372949275378</v>
      </c>
      <c r="C35" s="10">
        <f>$D$20/(A35+$E$20)^$F$20</f>
        <v>2.5102977969308693</v>
      </c>
      <c r="D35" s="10">
        <f>$D$21/(A35+$E$21)^$F$21</f>
        <v>2.8509498743764317</v>
      </c>
      <c r="E35" s="10">
        <f>$D$22/(A35+$E$22)^$F$22</f>
        <v>3.3903872606492329</v>
      </c>
      <c r="F35" s="10">
        <f>$D$23/(A35+$E$23)^$F$23</f>
        <v>3.8509759781666593</v>
      </c>
      <c r="G35" s="10">
        <f>$D$24/(A35+$E$24)^$F$24</f>
        <v>4.3513628282898846</v>
      </c>
      <c r="H35" s="10">
        <f>$D$25/(A35+$E$25)^$F$25</f>
        <v>4.9002668140391012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284" t="s">
        <v>14</v>
      </c>
      <c r="C37" s="284" t="s">
        <v>30</v>
      </c>
      <c r="D37" s="1"/>
      <c r="E37" s="6"/>
      <c r="F37" s="116"/>
      <c r="G37" s="1"/>
      <c r="H37" s="1"/>
    </row>
    <row r="38" spans="1:8" x14ac:dyDescent="0.25">
      <c r="A38" s="1"/>
      <c r="B38" s="284" t="s">
        <v>19</v>
      </c>
      <c r="C38" s="284" t="s">
        <v>31</v>
      </c>
      <c r="D38" s="1"/>
      <c r="E38" s="6"/>
      <c r="F38" s="1"/>
      <c r="G38" s="1"/>
      <c r="H38" s="1"/>
    </row>
    <row r="39" spans="1:8" ht="15" customHeight="1" x14ac:dyDescent="0.25">
      <c r="A39" s="1"/>
      <c r="B39" s="167" t="s">
        <v>25</v>
      </c>
      <c r="C39" s="167" t="s">
        <v>386</v>
      </c>
      <c r="D39" s="1"/>
      <c r="E39" s="6"/>
      <c r="F39" s="1"/>
      <c r="G39" s="1"/>
      <c r="H39" s="1"/>
    </row>
    <row r="40" spans="1:8" ht="15" customHeight="1" x14ac:dyDescent="0.25">
      <c r="A40" s="1"/>
      <c r="B40" s="168">
        <v>2</v>
      </c>
      <c r="C40" s="169">
        <f t="shared" ref="C40:C46" si="2">$G$4*G19*$G$3</f>
        <v>3.4639913822354749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4.1935089539642547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4.793566554447211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5.5473978836678972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6.1401100003636859</v>
      </c>
      <c r="D44" s="1"/>
      <c r="E44" s="1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6.6851483897864625</v>
      </c>
      <c r="D45" s="1"/>
      <c r="E45" s="1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7.2389229707880105</v>
      </c>
      <c r="D46" s="1"/>
      <c r="E46" s="1"/>
      <c r="F46" s="1"/>
      <c r="G46" s="1"/>
      <c r="H46" s="1"/>
    </row>
  </sheetData>
  <sheetProtection algorithmName="SHA-512" hashValue="jt+/HLtHTyYDRn7pPgUEHrzSZXg5H5K4P7q26nEGLhc2jlEBFwU4T953iUVUCyXM+FaHgefX8qXiP0rHhbhVKg==" saltValue="3gZLgTCH0uK8+PWNOtJIGA==" spinCount="100000" sheet="1" objects="1" selectLockedCells="1"/>
  <mergeCells count="3">
    <mergeCell ref="D27:F27"/>
    <mergeCell ref="C1:F1"/>
    <mergeCell ref="D15:F1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46"/>
  <sheetViews>
    <sheetView zoomScaleNormal="100" workbookViewId="0">
      <selection activeCell="B10" sqref="B10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8" width="10.7109375" style="2" customWidth="1"/>
    <col min="9" max="16384" width="9.28515625" style="2"/>
  </cols>
  <sheetData>
    <row r="1" spans="1:8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</row>
    <row r="2" spans="1:8" x14ac:dyDescent="0.25">
      <c r="A2" s="1"/>
      <c r="B2" s="1"/>
      <c r="C2" s="1"/>
      <c r="D2" s="1"/>
      <c r="E2" s="26"/>
      <c r="F2" s="1"/>
      <c r="G2" s="1"/>
      <c r="H2" s="1"/>
    </row>
    <row r="3" spans="1:8" x14ac:dyDescent="0.25">
      <c r="A3" s="1" t="s">
        <v>0</v>
      </c>
      <c r="B3" s="296" t="s">
        <v>1</v>
      </c>
      <c r="C3" s="123"/>
      <c r="D3" s="1"/>
      <c r="E3" s="1"/>
      <c r="F3" s="11" t="s">
        <v>117</v>
      </c>
      <c r="G3" s="286">
        <v>42.2</v>
      </c>
      <c r="H3" s="33" t="s">
        <v>12</v>
      </c>
    </row>
    <row r="4" spans="1:8" x14ac:dyDescent="0.25">
      <c r="A4" s="1" t="s">
        <v>4</v>
      </c>
      <c r="B4" s="295" t="s">
        <v>33</v>
      </c>
      <c r="C4" s="160"/>
      <c r="D4" s="1"/>
      <c r="E4" s="1"/>
      <c r="F4" s="11" t="s">
        <v>116</v>
      </c>
      <c r="G4" s="287">
        <v>0.35</v>
      </c>
      <c r="H4" s="1"/>
    </row>
    <row r="5" spans="1:8" ht="15" customHeight="1" x14ac:dyDescent="0.25">
      <c r="A5" s="173" t="s">
        <v>118</v>
      </c>
      <c r="B5" s="295"/>
      <c r="C5" s="160"/>
      <c r="D5" s="173"/>
      <c r="E5" s="173"/>
      <c r="F5" s="174" t="s">
        <v>115</v>
      </c>
      <c r="G5" s="288">
        <v>35.200000000000003</v>
      </c>
      <c r="H5" s="175" t="s">
        <v>13</v>
      </c>
    </row>
    <row r="6" spans="1:8" x14ac:dyDescent="0.25">
      <c r="A6" s="1" t="s">
        <v>164</v>
      </c>
      <c r="B6" s="296" t="s">
        <v>32</v>
      </c>
      <c r="C6" s="123"/>
    </row>
    <row r="7" spans="1:8" x14ac:dyDescent="0.25">
      <c r="A7" s="1" t="s">
        <v>10</v>
      </c>
      <c r="B7" s="295" t="s">
        <v>36</v>
      </c>
      <c r="C7" s="160"/>
    </row>
    <row r="8" spans="1:8" ht="15" customHeight="1" x14ac:dyDescent="0.25">
      <c r="A8" s="1" t="s">
        <v>121</v>
      </c>
      <c r="B8" s="303">
        <v>43060</v>
      </c>
      <c r="C8" s="160"/>
      <c r="D8" s="3"/>
      <c r="E8" s="3"/>
      <c r="F8" s="1"/>
      <c r="G8" s="1"/>
      <c r="H8" s="1"/>
    </row>
    <row r="9" spans="1:8" ht="15" customHeight="1" x14ac:dyDescent="0.25">
      <c r="A9" s="173" t="s">
        <v>122</v>
      </c>
      <c r="B9" s="296" t="s">
        <v>2</v>
      </c>
      <c r="C9" s="160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95" t="s">
        <v>34</v>
      </c>
      <c r="C10" s="160"/>
      <c r="F10" s="119">
        <v>33.604999999999997</v>
      </c>
      <c r="G10" s="119">
        <v>85.602999999999994</v>
      </c>
      <c r="H10" s="119">
        <v>842</v>
      </c>
    </row>
    <row r="11" spans="1:8" x14ac:dyDescent="0.25">
      <c r="A11" s="26" t="s">
        <v>9</v>
      </c>
      <c r="B11" s="26"/>
      <c r="C11" s="27" t="s">
        <v>35</v>
      </c>
      <c r="D11" s="33"/>
      <c r="E11" s="6"/>
      <c r="F11" s="25">
        <v>33.587200000000003</v>
      </c>
      <c r="G11" s="25">
        <v>85.855599999999995</v>
      </c>
      <c r="H11" s="25">
        <v>594</v>
      </c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26"/>
      <c r="H15" s="1"/>
    </row>
    <row r="16" spans="1:8" x14ac:dyDescent="0.25">
      <c r="A16" s="1"/>
      <c r="B16" s="6" t="s">
        <v>14</v>
      </c>
      <c r="C16" s="6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4"/>
      <c r="G18" s="23" t="s">
        <v>27</v>
      </c>
      <c r="H18" s="1"/>
    </row>
    <row r="19" spans="1:8" x14ac:dyDescent="0.25">
      <c r="A19" s="4"/>
      <c r="B19" s="6">
        <v>2</v>
      </c>
      <c r="C19" s="10">
        <f>G5</f>
        <v>35.200000000000003</v>
      </c>
      <c r="D19" s="22">
        <v>16.54</v>
      </c>
      <c r="E19" s="22">
        <v>1.73</v>
      </c>
      <c r="F19" s="110">
        <v>0.56055947100601378</v>
      </c>
      <c r="G19" s="22">
        <f t="shared" ref="G19:G25" si="0">D19/(C19+E19)^F19</f>
        <v>2.187389835386687</v>
      </c>
      <c r="H19" s="6"/>
    </row>
    <row r="20" spans="1:8" x14ac:dyDescent="0.25">
      <c r="A20" s="4"/>
      <c r="B20" s="6">
        <v>5</v>
      </c>
      <c r="C20" s="10">
        <f t="shared" ref="C20:C25" si="1">C19</f>
        <v>35.200000000000003</v>
      </c>
      <c r="D20" s="22">
        <v>19.73</v>
      </c>
      <c r="E20" s="22">
        <v>1.63</v>
      </c>
      <c r="F20" s="110">
        <v>0.55541000785957562</v>
      </c>
      <c r="G20" s="22">
        <f t="shared" si="0"/>
        <v>2.6622140815752169</v>
      </c>
      <c r="H20" s="11"/>
    </row>
    <row r="21" spans="1:8" ht="15" customHeight="1" x14ac:dyDescent="0.25">
      <c r="A21" s="4"/>
      <c r="B21" s="6">
        <v>10</v>
      </c>
      <c r="C21" s="10">
        <f t="shared" si="1"/>
        <v>35.200000000000003</v>
      </c>
      <c r="D21" s="7">
        <v>22.52</v>
      </c>
      <c r="E21" s="7">
        <v>1.59</v>
      </c>
      <c r="F21" s="110">
        <v>0.55155004581842071</v>
      </c>
      <c r="G21" s="22">
        <f t="shared" si="0"/>
        <v>3.0831173127262335</v>
      </c>
      <c r="H21" s="1"/>
    </row>
    <row r="22" spans="1:8" x14ac:dyDescent="0.25">
      <c r="A22" s="1"/>
      <c r="B22" s="6">
        <v>25</v>
      </c>
      <c r="C22" s="10">
        <f t="shared" si="1"/>
        <v>35.200000000000003</v>
      </c>
      <c r="D22" s="22">
        <v>26.09</v>
      </c>
      <c r="E22" s="22">
        <v>1.47</v>
      </c>
      <c r="F22" s="111">
        <v>0.5427563578145479</v>
      </c>
      <c r="G22" s="22">
        <f t="shared" si="0"/>
        <v>3.6934683950370308</v>
      </c>
      <c r="H22" s="1"/>
    </row>
    <row r="23" spans="1:8" x14ac:dyDescent="0.25">
      <c r="A23" s="1"/>
      <c r="B23" s="6">
        <v>50</v>
      </c>
      <c r="C23" s="10">
        <f t="shared" si="1"/>
        <v>35.200000000000003</v>
      </c>
      <c r="D23" s="22">
        <v>28.1</v>
      </c>
      <c r="E23" s="22">
        <v>1.19</v>
      </c>
      <c r="F23" s="110">
        <v>0.52962625341841374</v>
      </c>
      <c r="G23" s="22">
        <f t="shared" si="0"/>
        <v>4.1876390613442149</v>
      </c>
      <c r="H23" s="1"/>
    </row>
    <row r="24" spans="1:8" x14ac:dyDescent="0.25">
      <c r="A24" s="1"/>
      <c r="B24" s="6">
        <v>100</v>
      </c>
      <c r="C24" s="10">
        <f t="shared" si="1"/>
        <v>35.200000000000003</v>
      </c>
      <c r="D24" s="22">
        <v>30.34</v>
      </c>
      <c r="E24" s="22">
        <v>0.97</v>
      </c>
      <c r="F24" s="110">
        <v>0.51913163435707543</v>
      </c>
      <c r="G24" s="22">
        <f t="shared" si="0"/>
        <v>4.7100722410343447</v>
      </c>
      <c r="H24" s="1"/>
    </row>
    <row r="25" spans="1:8" x14ac:dyDescent="0.25">
      <c r="A25" s="1"/>
      <c r="B25" s="6">
        <v>200</v>
      </c>
      <c r="C25" s="10">
        <f t="shared" si="1"/>
        <v>35.200000000000003</v>
      </c>
      <c r="D25" s="22">
        <v>32.83</v>
      </c>
      <c r="E25" s="7">
        <v>0.87</v>
      </c>
      <c r="F25" s="110">
        <v>0.51051571203267299</v>
      </c>
      <c r="G25" s="22">
        <f t="shared" si="0"/>
        <v>5.264090064904714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8" t="s">
        <v>385</v>
      </c>
      <c r="C30" s="8" t="s">
        <v>385</v>
      </c>
      <c r="D30" s="8" t="s">
        <v>385</v>
      </c>
      <c r="E30" s="8" t="s">
        <v>385</v>
      </c>
      <c r="F30" s="8" t="s">
        <v>385</v>
      </c>
      <c r="G30" s="8" t="s">
        <v>385</v>
      </c>
      <c r="H30" s="8" t="s">
        <v>385</v>
      </c>
    </row>
    <row r="31" spans="1:8" x14ac:dyDescent="0.25">
      <c r="A31" s="1">
        <v>5</v>
      </c>
      <c r="B31" s="10">
        <f>$D$19/(A31+$E$19)^$F$19</f>
        <v>5.6804640914368347</v>
      </c>
      <c r="C31" s="10">
        <f>$D$20/(A31+$E$20)^$F$20</f>
        <v>6.9000184179504265</v>
      </c>
      <c r="D31" s="10">
        <f>$D$21/(A31+$E$21)^$F$21</f>
        <v>7.9599822305058368</v>
      </c>
      <c r="E31" s="10">
        <f>$D$22/(A31+$E$22)^$F$22</f>
        <v>9.4700140903846268</v>
      </c>
      <c r="F31" s="10">
        <f>$D$23/(A31+$E$23)^$F$23</f>
        <v>10.700551649293775</v>
      </c>
      <c r="G31" s="10">
        <f>$D$24/(A31+$E$24)^$F$24</f>
        <v>12.000041658389103</v>
      </c>
      <c r="H31" s="10">
        <f>$D$25/(A31+$E$25)^$F$25</f>
        <v>13.300533310057455</v>
      </c>
    </row>
    <row r="32" spans="1:8" x14ac:dyDescent="0.25">
      <c r="A32" s="1">
        <v>10</v>
      </c>
      <c r="B32" s="10">
        <f>$D$19/(A32+$E$19)^$F$19</f>
        <v>4.1603548751208059</v>
      </c>
      <c r="C32" s="10">
        <f>$D$20/(A32+$E$20)^$F$20</f>
        <v>5.0500240631676965</v>
      </c>
      <c r="D32" s="10">
        <f>$D$21/(A32+$E$21)^$F$21</f>
        <v>5.8300612618750796</v>
      </c>
      <c r="E32" s="10">
        <f>$D$22/(A32+$E$22)^$F$22</f>
        <v>6.9404766512009148</v>
      </c>
      <c r="F32" s="10">
        <f>$D$23/(A32+$E$23)^$F$23</f>
        <v>7.8202091926114301</v>
      </c>
      <c r="G32" s="10">
        <f>$D$24/(A32+$E$24)^$F$24</f>
        <v>8.7500676315182648</v>
      </c>
      <c r="H32" s="10">
        <f>$D$25/(A32+$E$25)^$F$25</f>
        <v>9.7108985978554951</v>
      </c>
    </row>
    <row r="33" spans="1:8" x14ac:dyDescent="0.25">
      <c r="A33" s="1">
        <v>15</v>
      </c>
      <c r="B33" s="10">
        <f>$D$19/(A33+$E$19)^$F$19</f>
        <v>3.4095201997551094</v>
      </c>
      <c r="C33" s="10">
        <f>$D$20/(A33+$E$20)^$F$20</f>
        <v>4.1402952420973085</v>
      </c>
      <c r="D33" s="10">
        <f>$D$21/(A33+$E$21)^$F$21</f>
        <v>4.7836792935695556</v>
      </c>
      <c r="E33" s="10">
        <f>$D$22/(A33+$E$22)^$F$22</f>
        <v>5.7030331056696459</v>
      </c>
      <c r="F33" s="10">
        <f>$D$23/(A33+$E$23)^$F$23</f>
        <v>6.4306880395250223</v>
      </c>
      <c r="G33" s="10">
        <f>$D$24/(A33+$E$24)^$F$24</f>
        <v>7.2001563757247977</v>
      </c>
      <c r="H33" s="10">
        <f>$D$25/(A33+$E$25)^$F$25</f>
        <v>8.0049292550054609</v>
      </c>
    </row>
    <row r="34" spans="1:8" x14ac:dyDescent="0.25">
      <c r="A34" s="1">
        <v>30</v>
      </c>
      <c r="B34" s="10">
        <f>$D$19/(A34+$E$19)^$F$19</f>
        <v>2.3816187231526298</v>
      </c>
      <c r="C34" s="10">
        <f>$D$20/(A34+$E$20)^$F$20</f>
        <v>2.8970566076808932</v>
      </c>
      <c r="D34" s="10">
        <f>$D$21/(A34+$E$21)^$F$21</f>
        <v>3.3534491191036651</v>
      </c>
      <c r="E34" s="10">
        <f>$D$22/(A34+$E$22)^$F$22</f>
        <v>4.0131103193041913</v>
      </c>
      <c r="F34" s="10">
        <f>$D$23/(A34+$E$23)^$F$23</f>
        <v>4.5439814986181748</v>
      </c>
      <c r="G34" s="10">
        <f>$D$24/(A34+$E$24)^$F$24</f>
        <v>5.1052948793267499</v>
      </c>
      <c r="H34" s="10">
        <f>$D$25/(A34+$E$25)^$F$25</f>
        <v>5.6995298133983381</v>
      </c>
    </row>
    <row r="35" spans="1:8" x14ac:dyDescent="0.25">
      <c r="A35" s="1">
        <v>60</v>
      </c>
      <c r="B35" s="10">
        <f>$D$19/(A35+$E$19)^$F$19</f>
        <v>1.6400453582258991</v>
      </c>
      <c r="C35" s="10">
        <f>$D$20/(A35+$E$20)^$F$20</f>
        <v>2.0001317473987639</v>
      </c>
      <c r="D35" s="10">
        <f>$D$21/(A35+$E$21)^$F$21</f>
        <v>2.320405846897871</v>
      </c>
      <c r="E35" s="10">
        <f>$D$22/(A35+$E$22)^$F$22</f>
        <v>2.7903954056311862</v>
      </c>
      <c r="F35" s="10">
        <f>$D$23/(A35+$E$23)^$F$23</f>
        <v>3.180046316591107</v>
      </c>
      <c r="G35" s="10">
        <f>$D$24/(A35+$E$24)^$F$24</f>
        <v>3.5917432859816265</v>
      </c>
      <c r="H35" s="10">
        <f>$D$25/(A35+$E$25)^$F$25</f>
        <v>4.0299992060562451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"/>
      <c r="E37" s="1"/>
      <c r="F37" s="1"/>
      <c r="G37" s="1"/>
      <c r="H37" s="1"/>
    </row>
    <row r="38" spans="1:8" x14ac:dyDescent="0.25">
      <c r="A38" s="1"/>
      <c r="B38" s="168" t="s">
        <v>19</v>
      </c>
      <c r="C38" s="284" t="s">
        <v>31</v>
      </c>
      <c r="D38" s="12"/>
      <c r="E38" s="12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2"/>
      <c r="E39" s="10"/>
      <c r="F39" s="12"/>
      <c r="G39" s="12"/>
      <c r="H39" s="12"/>
    </row>
    <row r="40" spans="1:8" x14ac:dyDescent="0.25">
      <c r="A40" s="1"/>
      <c r="B40" s="168">
        <v>2</v>
      </c>
      <c r="C40" s="169">
        <f t="shared" ref="C40:C46" si="2">$G$4*G19*$G$3</f>
        <v>32.307747868661366</v>
      </c>
      <c r="D40" s="1"/>
      <c r="E40" s="6"/>
      <c r="F40" s="116"/>
      <c r="G40" s="1"/>
      <c r="H40" s="1"/>
    </row>
    <row r="41" spans="1:8" x14ac:dyDescent="0.25">
      <c r="A41" s="1"/>
      <c r="B41" s="168">
        <v>5</v>
      </c>
      <c r="C41" s="170">
        <f t="shared" si="2"/>
        <v>39.320901984865955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45.537642708966466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54.55252819469694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61.851428936054056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69.567767000077268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77.750610258642624</v>
      </c>
      <c r="D46" s="1"/>
      <c r="E46" s="6"/>
      <c r="F46" s="1"/>
      <c r="G46" s="1"/>
      <c r="H46" s="1"/>
    </row>
  </sheetData>
  <sheetProtection algorithmName="SHA-512" hashValue="5puH03LGQynYyKKodLJ1IKIWonLaPjXmt+WW7jsnBrt2nJLXKzL9cF4rzFLytMDvce085+I9s5PZvvk1TGMqOQ==" saltValue="+0JhMsM7oJS5b4pAa7cAbw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46"/>
  <sheetViews>
    <sheetView zoomScaleNormal="100" workbookViewId="0">
      <selection activeCell="F10" sqref="F10"/>
    </sheetView>
  </sheetViews>
  <sheetFormatPr defaultColWidth="9.28515625" defaultRowHeight="15" x14ac:dyDescent="0.25"/>
  <cols>
    <col min="1" max="1" width="10.7109375" style="2" customWidth="1"/>
    <col min="2" max="2" width="11.140625" style="2" customWidth="1"/>
    <col min="3" max="8" width="10.7109375" style="2" customWidth="1"/>
    <col min="9" max="16384" width="9.28515625" style="2"/>
  </cols>
  <sheetData>
    <row r="1" spans="1:9" ht="19.5" x14ac:dyDescent="0.3">
      <c r="A1" s="1"/>
      <c r="B1" s="168"/>
      <c r="C1" s="575" t="s">
        <v>119</v>
      </c>
      <c r="D1" s="575"/>
      <c r="E1" s="575"/>
      <c r="F1" s="575"/>
      <c r="G1" s="168"/>
      <c r="H1" s="168"/>
      <c r="I1" s="1"/>
    </row>
    <row r="2" spans="1:9" x14ac:dyDescent="0.25">
      <c r="A2" s="1"/>
      <c r="B2" s="1"/>
      <c r="C2" s="1"/>
      <c r="D2" s="26"/>
      <c r="E2" s="1"/>
      <c r="F2" s="1"/>
      <c r="G2" s="1"/>
      <c r="H2" s="1"/>
      <c r="I2" s="1"/>
    </row>
    <row r="3" spans="1:9" x14ac:dyDescent="0.25">
      <c r="A3" s="1" t="s">
        <v>0</v>
      </c>
      <c r="B3" s="117" t="s">
        <v>479</v>
      </c>
      <c r="C3" s="123"/>
      <c r="D3" s="1"/>
      <c r="E3" s="1"/>
      <c r="F3" s="11" t="s">
        <v>117</v>
      </c>
      <c r="G3" s="286">
        <v>27</v>
      </c>
      <c r="H3" s="33" t="s">
        <v>12</v>
      </c>
    </row>
    <row r="4" spans="1:9" x14ac:dyDescent="0.25">
      <c r="A4" s="1" t="s">
        <v>4</v>
      </c>
      <c r="B4" s="275" t="s">
        <v>39</v>
      </c>
      <c r="C4" s="160"/>
      <c r="D4" s="1"/>
      <c r="E4" s="1"/>
      <c r="F4" s="11" t="s">
        <v>116</v>
      </c>
      <c r="G4" s="287">
        <v>0.42</v>
      </c>
      <c r="H4" s="1"/>
    </row>
    <row r="5" spans="1:9" ht="15" customHeight="1" x14ac:dyDescent="0.25">
      <c r="A5" s="173" t="s">
        <v>118</v>
      </c>
      <c r="B5" s="276" t="s">
        <v>37</v>
      </c>
      <c r="C5" s="172"/>
      <c r="D5" s="173"/>
      <c r="E5" s="1"/>
      <c r="F5" s="174" t="s">
        <v>115</v>
      </c>
      <c r="G5" s="288">
        <v>21</v>
      </c>
      <c r="H5" s="175" t="s">
        <v>13</v>
      </c>
    </row>
    <row r="6" spans="1:9" x14ac:dyDescent="0.25">
      <c r="A6" s="1" t="s">
        <v>164</v>
      </c>
      <c r="B6" s="117" t="s">
        <v>38</v>
      </c>
      <c r="C6" s="123"/>
    </row>
    <row r="7" spans="1:9" x14ac:dyDescent="0.25">
      <c r="A7" s="1" t="s">
        <v>10</v>
      </c>
      <c r="B7" s="275" t="s">
        <v>42</v>
      </c>
      <c r="C7" s="160"/>
    </row>
    <row r="8" spans="1:9" x14ac:dyDescent="0.25">
      <c r="A8" s="26" t="s">
        <v>121</v>
      </c>
      <c r="B8" s="291">
        <v>43060</v>
      </c>
      <c r="C8" s="160"/>
      <c r="D8" s="3"/>
    </row>
    <row r="9" spans="1:9" ht="15" customHeight="1" x14ac:dyDescent="0.25">
      <c r="A9" s="173" t="s">
        <v>122</v>
      </c>
      <c r="B9" s="290" t="s">
        <v>2</v>
      </c>
      <c r="C9" s="172"/>
      <c r="D9" s="184"/>
      <c r="E9" s="173"/>
      <c r="F9" s="178" t="s">
        <v>380</v>
      </c>
      <c r="G9" s="178" t="s">
        <v>381</v>
      </c>
      <c r="H9" s="178" t="s">
        <v>468</v>
      </c>
    </row>
    <row r="10" spans="1:9" x14ac:dyDescent="0.25">
      <c r="A10" s="1" t="s">
        <v>173</v>
      </c>
      <c r="B10" s="276" t="s">
        <v>40</v>
      </c>
      <c r="C10" s="172"/>
      <c r="F10" s="119">
        <v>33.813600000000001</v>
      </c>
      <c r="G10" s="119">
        <v>86.543899999999994</v>
      </c>
      <c r="H10" s="119">
        <v>720</v>
      </c>
    </row>
    <row r="11" spans="1:9" x14ac:dyDescent="0.25">
      <c r="A11" s="26" t="s">
        <v>9</v>
      </c>
      <c r="B11" s="1"/>
      <c r="C11" s="35" t="s">
        <v>41</v>
      </c>
      <c r="D11" s="1"/>
      <c r="E11" s="1"/>
      <c r="F11" s="34">
        <v>33.466700000000003</v>
      </c>
      <c r="G11" s="25">
        <v>86.833299999999994</v>
      </c>
      <c r="H11" s="25">
        <v>744</v>
      </c>
    </row>
    <row r="12" spans="1:9" x14ac:dyDescent="0.25">
      <c r="E12" s="5"/>
    </row>
    <row r="14" spans="1:9" x14ac:dyDescent="0.25">
      <c r="A14" s="1"/>
      <c r="B14" s="1"/>
      <c r="C14" s="1"/>
      <c r="D14" s="1"/>
      <c r="E14" s="1"/>
      <c r="F14" s="1"/>
      <c r="G14" s="1"/>
      <c r="H14" s="1"/>
    </row>
    <row r="15" spans="1:9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9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.75" customHeight="1" x14ac:dyDescent="0.25">
      <c r="A17" s="1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1"/>
    </row>
    <row r="18" spans="1:8" x14ac:dyDescent="0.25">
      <c r="A18" s="1"/>
      <c r="B18" s="8" t="s">
        <v>25</v>
      </c>
      <c r="C18" s="8" t="s">
        <v>26</v>
      </c>
      <c r="D18" s="23" t="s">
        <v>27</v>
      </c>
      <c r="E18" s="23" t="s">
        <v>26</v>
      </c>
      <c r="F18" s="24"/>
      <c r="G18" s="23" t="s">
        <v>27</v>
      </c>
      <c r="H18" s="1"/>
    </row>
    <row r="19" spans="1:8" x14ac:dyDescent="0.25">
      <c r="A19" s="4"/>
      <c r="B19" s="6">
        <v>2</v>
      </c>
      <c r="C19" s="10">
        <f>G5</f>
        <v>21</v>
      </c>
      <c r="D19" s="29">
        <v>17.649999999999999</v>
      </c>
      <c r="E19" s="29">
        <v>1.83</v>
      </c>
      <c r="F19" s="105">
        <v>0.56593876818595923</v>
      </c>
      <c r="G19" s="22">
        <f t="shared" ref="G19:G25" si="0">D19/(C19+E19)^F19</f>
        <v>3.0054779606006159</v>
      </c>
      <c r="H19" s="6"/>
    </row>
    <row r="20" spans="1:8" x14ac:dyDescent="0.25">
      <c r="A20" s="4"/>
      <c r="B20" s="6">
        <v>5</v>
      </c>
      <c r="C20" s="10">
        <f t="shared" ref="C20:C25" si="1">C19</f>
        <v>21</v>
      </c>
      <c r="D20" s="29">
        <v>20.8</v>
      </c>
      <c r="E20" s="29">
        <v>1.68</v>
      </c>
      <c r="F20" s="109">
        <v>0.55858042630264293</v>
      </c>
      <c r="G20" s="22">
        <f t="shared" si="0"/>
        <v>3.6377065499949222</v>
      </c>
      <c r="H20" s="6"/>
    </row>
    <row r="21" spans="1:8" x14ac:dyDescent="0.25">
      <c r="A21" s="4"/>
      <c r="B21" s="6">
        <v>10</v>
      </c>
      <c r="C21" s="10">
        <f t="shared" si="1"/>
        <v>21</v>
      </c>
      <c r="D21" s="29">
        <v>23.78</v>
      </c>
      <c r="E21" s="29">
        <v>1.65</v>
      </c>
      <c r="F21" s="105">
        <v>0.55745834671233363</v>
      </c>
      <c r="G21" s="22">
        <f t="shared" si="0"/>
        <v>4.1765508012262167</v>
      </c>
      <c r="H21" s="11"/>
    </row>
    <row r="22" spans="1:8" x14ac:dyDescent="0.25">
      <c r="A22" s="4"/>
      <c r="B22" s="6">
        <v>25</v>
      </c>
      <c r="C22" s="10">
        <f t="shared" si="1"/>
        <v>21</v>
      </c>
      <c r="D22" s="29">
        <v>27.66</v>
      </c>
      <c r="E22" s="29">
        <v>1.58</v>
      </c>
      <c r="F22" s="105">
        <v>0.55235655391593408</v>
      </c>
      <c r="G22" s="22">
        <f t="shared" si="0"/>
        <v>4.9444032890959395</v>
      </c>
      <c r="H22" s="1"/>
    </row>
    <row r="23" spans="1:8" x14ac:dyDescent="0.25">
      <c r="A23" s="1"/>
      <c r="B23" s="6">
        <v>50</v>
      </c>
      <c r="C23" s="10">
        <f t="shared" si="1"/>
        <v>21</v>
      </c>
      <c r="D23" s="29">
        <v>30.13</v>
      </c>
      <c r="E23" s="29">
        <v>1.36</v>
      </c>
      <c r="F23" s="105">
        <v>0.54465420473160808</v>
      </c>
      <c r="G23" s="22">
        <f t="shared" si="0"/>
        <v>5.5463036415929965</v>
      </c>
      <c r="H23" s="1"/>
    </row>
    <row r="24" spans="1:8" x14ac:dyDescent="0.25">
      <c r="A24" s="1"/>
      <c r="B24" s="6">
        <v>100</v>
      </c>
      <c r="C24" s="10">
        <f t="shared" si="1"/>
        <v>21</v>
      </c>
      <c r="D24" s="29">
        <v>33.04</v>
      </c>
      <c r="E24" s="29">
        <v>1.33</v>
      </c>
      <c r="F24" s="105">
        <v>0.53988429484807876</v>
      </c>
      <c r="G24" s="22">
        <f t="shared" si="0"/>
        <v>6.1772645579567058</v>
      </c>
      <c r="H24" s="1"/>
    </row>
    <row r="25" spans="1:8" x14ac:dyDescent="0.25">
      <c r="A25" s="1"/>
      <c r="B25" s="6">
        <v>200</v>
      </c>
      <c r="C25" s="10">
        <f t="shared" si="1"/>
        <v>21</v>
      </c>
      <c r="D25" s="10">
        <v>36.590000000000003</v>
      </c>
      <c r="E25" s="29">
        <v>1.44</v>
      </c>
      <c r="F25" s="105">
        <v>0.53929981853034181</v>
      </c>
      <c r="G25" s="22">
        <f t="shared" si="0"/>
        <v>6.8352756022038124</v>
      </c>
      <c r="H25" s="1"/>
    </row>
    <row r="26" spans="1:8" x14ac:dyDescent="0.25">
      <c r="A26" s="1"/>
      <c r="B26" s="1"/>
      <c r="C26" s="6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6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7" t="s">
        <v>29</v>
      </c>
      <c r="B30" s="180" t="s">
        <v>385</v>
      </c>
      <c r="C30" s="180" t="s">
        <v>385</v>
      </c>
      <c r="D30" s="180" t="s">
        <v>385</v>
      </c>
      <c r="E30" s="180" t="s">
        <v>385</v>
      </c>
      <c r="F30" s="180" t="s">
        <v>385</v>
      </c>
      <c r="G30" s="180" t="s">
        <v>385</v>
      </c>
      <c r="H30" s="180" t="s">
        <v>385</v>
      </c>
    </row>
    <row r="31" spans="1:8" x14ac:dyDescent="0.25">
      <c r="A31" s="1">
        <v>5</v>
      </c>
      <c r="B31" s="10">
        <f>$D$19/(A31+$E$19)^$F$19</f>
        <v>5.9499550465458704</v>
      </c>
      <c r="C31" s="10">
        <f>$D$20/(A31+$E$20)^$F$20</f>
        <v>7.200445158090834</v>
      </c>
      <c r="D31" s="10">
        <f>$D$21/(A31+$E$21)^$F$21</f>
        <v>8.2703341376630526</v>
      </c>
      <c r="E31" s="10">
        <f>$D$22/(A31+$E$22)^$F$22</f>
        <v>9.7701164668082487</v>
      </c>
      <c r="F31" s="10">
        <f>$D$23/(A31+$E$23)^$F$23</f>
        <v>11.000003803209536</v>
      </c>
      <c r="G31" s="10">
        <f>$D$24/(A31+$E$24)^$F$24</f>
        <v>12.200419444838275</v>
      </c>
      <c r="H31" s="10">
        <f>$D$25/(A31+$E$25)^$F$25</f>
        <v>13.400790199616528</v>
      </c>
    </row>
    <row r="32" spans="1:8" ht="14.25" customHeight="1" x14ac:dyDescent="0.25">
      <c r="A32" s="1">
        <v>10</v>
      </c>
      <c r="B32" s="10">
        <f>$D$19/(A32+$E$19)^$F$19</f>
        <v>4.3601461320516783</v>
      </c>
      <c r="C32" s="10">
        <f>$D$20/(A32+$E$20)^$F$20</f>
        <v>5.2700005045392109</v>
      </c>
      <c r="D32" s="10">
        <f>$D$21/(A32+$E$21)^$F$21</f>
        <v>6.0503369667834637</v>
      </c>
      <c r="E32" s="10">
        <f>$D$22/(A32+$E$22)^$F$22</f>
        <v>7.1499957151473454</v>
      </c>
      <c r="F32" s="10">
        <f>$D$23/(A32+$E$23)^$F$23</f>
        <v>8.0201572942106463</v>
      </c>
      <c r="G32" s="10">
        <f>$D$24/(A32+$E$24)^$F$24</f>
        <v>8.91000334651679</v>
      </c>
      <c r="H32" s="10">
        <f>$D$25/(A32+$E$25)^$F$25</f>
        <v>9.8299983870044727</v>
      </c>
    </row>
    <row r="33" spans="1:8" x14ac:dyDescent="0.25">
      <c r="A33" s="1">
        <v>15</v>
      </c>
      <c r="B33" s="10">
        <f>$D$19/(A33+$E$19)^$F$19</f>
        <v>3.5715454030395013</v>
      </c>
      <c r="C33" s="10">
        <f>$D$20/(A33+$E$20)^$F$20</f>
        <v>4.3188542340757605</v>
      </c>
      <c r="D33" s="10">
        <f>$D$21/(A33+$E$21)^$F$21</f>
        <v>4.9582028266257572</v>
      </c>
      <c r="E33" s="10">
        <f>$D$22/(A33+$E$22)^$F$22</f>
        <v>5.8641715909113206</v>
      </c>
      <c r="F33" s="10">
        <f>$D$23/(A33+$E$23)^$F$23</f>
        <v>6.5751695175521778</v>
      </c>
      <c r="G33" s="10">
        <f>$D$24/(A33+$E$24)^$F$24</f>
        <v>7.3142171127040365</v>
      </c>
      <c r="H33" s="10">
        <f>$D$25/(A33+$E$25)^$F$25</f>
        <v>8.0840088869651616</v>
      </c>
    </row>
    <row r="34" spans="1:8" x14ac:dyDescent="0.25">
      <c r="A34" s="1">
        <v>30</v>
      </c>
      <c r="B34" s="10">
        <f>$D$19/(A34+$E$19)^$F$19</f>
        <v>2.4901825970637672</v>
      </c>
      <c r="C34" s="10">
        <f>$D$20/(A34+$E$20)^$F$20</f>
        <v>3.0182423829251279</v>
      </c>
      <c r="D34" s="10">
        <f>$D$21/(A34+$E$21)^$F$21</f>
        <v>3.4658997762781625</v>
      </c>
      <c r="E34" s="10">
        <f>$D$22/(A34+$E$22)^$F$22</f>
        <v>4.1081099740382596</v>
      </c>
      <c r="F34" s="10">
        <f>$D$23/(A34+$E$23)^$F$23</f>
        <v>4.6130867533772255</v>
      </c>
      <c r="G34" s="10">
        <f>$D$24/(A34+$E$24)^$F$24</f>
        <v>5.1451082410706892</v>
      </c>
      <c r="H34" s="10">
        <f>$D$25/(A34+$E$25)^$F$25</f>
        <v>5.6986285404279178</v>
      </c>
    </row>
    <row r="35" spans="1:8" x14ac:dyDescent="0.25">
      <c r="A35" s="1">
        <v>60</v>
      </c>
      <c r="B35" s="10">
        <f>$D$19/(A35+$E$19)^$F$19</f>
        <v>1.7101555516922462</v>
      </c>
      <c r="C35" s="10">
        <f>$D$20/(A35+$E$20)^$F$20</f>
        <v>2.0802892861818743</v>
      </c>
      <c r="D35" s="10">
        <f>$D$21/(A35+$E$21)^$F$21</f>
        <v>2.3900044758085444</v>
      </c>
      <c r="E35" s="10">
        <f>$D$22/(A35+$E$22)^$F$22</f>
        <v>2.8408181771690963</v>
      </c>
      <c r="F35" s="10">
        <f>$D$23/(A35+$E$23)^$F$23</f>
        <v>3.2005149317658166</v>
      </c>
      <c r="G35" s="10">
        <f>$D$24/(A35+$E$24)^$F$24</f>
        <v>3.5801686118733036</v>
      </c>
      <c r="H35" s="10">
        <f>$D$25/(A35+$E$25)^$F$25</f>
        <v>3.970553005615701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"/>
      <c r="E37" s="1"/>
      <c r="F37" s="1"/>
      <c r="G37" s="1"/>
      <c r="H37" s="1"/>
    </row>
    <row r="38" spans="1:8" x14ac:dyDescent="0.25">
      <c r="A38" s="1"/>
      <c r="B38" s="168" t="s">
        <v>19</v>
      </c>
      <c r="C38" s="284" t="s">
        <v>31</v>
      </c>
      <c r="D38" s="1"/>
      <c r="E38" s="1"/>
      <c r="F38" s="1"/>
      <c r="G38" s="1"/>
      <c r="H38" s="1"/>
    </row>
    <row r="39" spans="1:8" ht="14.25" customHeight="1" x14ac:dyDescent="0.25">
      <c r="A39" s="1"/>
      <c r="B39" s="176" t="s">
        <v>25</v>
      </c>
      <c r="C39" s="176" t="s">
        <v>386</v>
      </c>
      <c r="D39" s="12"/>
      <c r="E39" s="12"/>
      <c r="F39" s="12"/>
      <c r="G39" s="12"/>
      <c r="H39" s="12"/>
    </row>
    <row r="40" spans="1:8" x14ac:dyDescent="0.25">
      <c r="A40" s="1"/>
      <c r="B40" s="168">
        <v>2</v>
      </c>
      <c r="C40" s="169">
        <f t="shared" ref="C40:C46" si="2">$G$4*G19*$G$3</f>
        <v>34.08212007321098</v>
      </c>
      <c r="D40" s="12"/>
      <c r="E40" s="10"/>
      <c r="F40" s="12"/>
      <c r="G40" s="12"/>
      <c r="H40" s="12"/>
    </row>
    <row r="41" spans="1:8" x14ac:dyDescent="0.25">
      <c r="A41" s="1"/>
      <c r="B41" s="168">
        <v>5</v>
      </c>
      <c r="C41" s="170">
        <f t="shared" si="2"/>
        <v>41.251592276942418</v>
      </c>
      <c r="D41" s="1"/>
      <c r="E41" s="6"/>
      <c r="F41" s="116"/>
      <c r="G41" s="1"/>
      <c r="H41" s="1"/>
    </row>
    <row r="42" spans="1:8" x14ac:dyDescent="0.25">
      <c r="A42" s="1"/>
      <c r="B42" s="168">
        <v>10</v>
      </c>
      <c r="C42" s="170">
        <f t="shared" si="2"/>
        <v>47.362086085905297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56.069533298347956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62.895083295664577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70.050180087229037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77.512025328991228</v>
      </c>
      <c r="D46" s="1"/>
      <c r="E46" s="6"/>
      <c r="F46" s="1"/>
      <c r="G46" s="1"/>
      <c r="H46" s="1"/>
    </row>
  </sheetData>
  <sheetProtection algorithmName="SHA-512" hashValue="uqeCV6Oy7Ti3kSX0TFrlEp+mXbZQO0woDMIBCpWKcNz689cZHsQJ5TBgBZmpiDnUKOmDAh1dy5VEqXzkfOu9ow==" saltValue="RGQ+EC598x4lqPv9u5NyJg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H46"/>
  <sheetViews>
    <sheetView zoomScaleNormal="100" workbookViewId="0">
      <selection activeCell="H10" sqref="H10"/>
    </sheetView>
  </sheetViews>
  <sheetFormatPr defaultColWidth="9.28515625" defaultRowHeight="15" x14ac:dyDescent="0.25"/>
  <cols>
    <col min="1" max="2" width="10.7109375" style="2" customWidth="1"/>
    <col min="3" max="3" width="11.140625" style="2" customWidth="1"/>
    <col min="4" max="8" width="10.7109375" style="2" customWidth="1"/>
    <col min="9" max="16384" width="9.28515625" style="2"/>
  </cols>
  <sheetData>
    <row r="1" spans="1:8" ht="19.5" x14ac:dyDescent="0.3">
      <c r="A1" s="1"/>
      <c r="B1" s="168"/>
      <c r="C1" s="575" t="s">
        <v>119</v>
      </c>
      <c r="D1" s="575"/>
      <c r="E1" s="575"/>
      <c r="F1" s="575"/>
      <c r="G1" s="1"/>
      <c r="H1" s="168"/>
    </row>
    <row r="2" spans="1:8" x14ac:dyDescent="0.25">
      <c r="A2" s="1"/>
      <c r="D2" s="3"/>
    </row>
    <row r="3" spans="1:8" x14ac:dyDescent="0.25">
      <c r="A3" s="1" t="s">
        <v>0</v>
      </c>
      <c r="B3" s="117" t="s">
        <v>493</v>
      </c>
      <c r="C3" s="123"/>
      <c r="D3" s="1"/>
      <c r="E3" s="1"/>
      <c r="F3" s="11" t="s">
        <v>117</v>
      </c>
      <c r="G3" s="286">
        <v>94.52</v>
      </c>
      <c r="H3" s="33" t="s">
        <v>12</v>
      </c>
    </row>
    <row r="4" spans="1:8" x14ac:dyDescent="0.25">
      <c r="A4" s="1" t="s">
        <v>4</v>
      </c>
      <c r="B4" s="275" t="s">
        <v>73</v>
      </c>
      <c r="C4" s="160"/>
      <c r="D4" s="1"/>
      <c r="E4" s="1"/>
      <c r="F4" s="11" t="s">
        <v>116</v>
      </c>
      <c r="G4" s="287">
        <v>0.42</v>
      </c>
      <c r="H4" s="33"/>
    </row>
    <row r="5" spans="1:8" ht="15" customHeight="1" x14ac:dyDescent="0.25">
      <c r="A5" s="173" t="s">
        <v>118</v>
      </c>
      <c r="B5" s="276" t="s">
        <v>111</v>
      </c>
      <c r="C5" s="172"/>
      <c r="D5" s="173"/>
      <c r="E5" s="173"/>
      <c r="F5" s="174" t="s">
        <v>115</v>
      </c>
      <c r="G5" s="288">
        <v>21</v>
      </c>
      <c r="H5" s="175" t="s">
        <v>13</v>
      </c>
    </row>
    <row r="6" spans="1:8" x14ac:dyDescent="0.25">
      <c r="A6" s="1" t="s">
        <v>164</v>
      </c>
      <c r="B6" s="117" t="s">
        <v>112</v>
      </c>
      <c r="C6" s="123"/>
    </row>
    <row r="7" spans="1:8" x14ac:dyDescent="0.25">
      <c r="A7" s="1" t="s">
        <v>10</v>
      </c>
      <c r="B7" s="275" t="s">
        <v>114</v>
      </c>
      <c r="C7" s="160"/>
    </row>
    <row r="8" spans="1:8" x14ac:dyDescent="0.25">
      <c r="A8" s="1" t="s">
        <v>121</v>
      </c>
      <c r="B8" s="291">
        <v>43060</v>
      </c>
      <c r="C8" s="160"/>
      <c r="D8" s="3"/>
      <c r="H8" s="1"/>
    </row>
    <row r="9" spans="1:8" ht="15" customHeight="1" x14ac:dyDescent="0.25">
      <c r="A9" s="173" t="s">
        <v>122</v>
      </c>
      <c r="B9" s="276" t="s">
        <v>2</v>
      </c>
      <c r="C9" s="172"/>
      <c r="D9" s="184"/>
      <c r="E9" s="184"/>
      <c r="F9" s="178" t="s">
        <v>380</v>
      </c>
      <c r="G9" s="178" t="s">
        <v>381</v>
      </c>
      <c r="H9" s="178" t="s">
        <v>468</v>
      </c>
    </row>
    <row r="10" spans="1:8" x14ac:dyDescent="0.25">
      <c r="A10" s="1" t="s">
        <v>173</v>
      </c>
      <c r="B10" s="276"/>
      <c r="C10" s="172"/>
      <c r="F10" s="119">
        <v>34.936300000000003</v>
      </c>
      <c r="G10" s="119">
        <v>85.752499999999998</v>
      </c>
      <c r="H10" s="119">
        <v>650</v>
      </c>
    </row>
    <row r="11" spans="1:8" x14ac:dyDescent="0.25">
      <c r="A11" s="26" t="s">
        <v>9</v>
      </c>
      <c r="B11" s="26"/>
      <c r="C11" s="35" t="s">
        <v>113</v>
      </c>
      <c r="D11" s="1"/>
      <c r="E11" s="6"/>
      <c r="F11" s="34">
        <v>34.9786</v>
      </c>
      <c r="G11" s="25">
        <v>85.800799999999995</v>
      </c>
      <c r="H11" s="25">
        <v>670</v>
      </c>
    </row>
    <row r="15" spans="1:8" ht="18.75" x14ac:dyDescent="0.35">
      <c r="A15" s="1"/>
      <c r="B15" s="1"/>
      <c r="C15" s="1"/>
      <c r="D15" s="576" t="s">
        <v>456</v>
      </c>
      <c r="E15" s="576"/>
      <c r="F15" s="576"/>
      <c r="G15" s="1"/>
      <c r="H15" s="1"/>
    </row>
    <row r="16" spans="1:8" x14ac:dyDescent="0.25">
      <c r="A16" s="1"/>
      <c r="B16" s="6" t="s">
        <v>14</v>
      </c>
      <c r="C16" s="1"/>
      <c r="D16" s="1" t="s">
        <v>15</v>
      </c>
      <c r="E16" s="7" t="s">
        <v>16</v>
      </c>
      <c r="F16" s="7" t="s">
        <v>17</v>
      </c>
      <c r="G16" s="6" t="s">
        <v>18</v>
      </c>
      <c r="H16" s="1"/>
    </row>
    <row r="17" spans="1:8" ht="15" customHeight="1" x14ac:dyDescent="0.25">
      <c r="A17" s="173"/>
      <c r="B17" s="179" t="s">
        <v>19</v>
      </c>
      <c r="C17" s="180" t="s">
        <v>20</v>
      </c>
      <c r="D17" s="181" t="s">
        <v>21</v>
      </c>
      <c r="E17" s="180" t="s">
        <v>22</v>
      </c>
      <c r="F17" s="182" t="s">
        <v>23</v>
      </c>
      <c r="G17" s="180" t="s">
        <v>24</v>
      </c>
      <c r="H17" s="6"/>
    </row>
    <row r="18" spans="1:8" x14ac:dyDescent="0.25">
      <c r="A18" s="4"/>
      <c r="B18" s="8" t="s">
        <v>25</v>
      </c>
      <c r="C18" s="8" t="s">
        <v>26</v>
      </c>
      <c r="D18" s="23" t="s">
        <v>27</v>
      </c>
      <c r="E18" s="23" t="s">
        <v>26</v>
      </c>
      <c r="F18" s="23"/>
      <c r="G18" s="23" t="s">
        <v>27</v>
      </c>
      <c r="H18" s="6"/>
    </row>
    <row r="19" spans="1:8" x14ac:dyDescent="0.25">
      <c r="A19" s="4"/>
      <c r="B19" s="6">
        <v>2</v>
      </c>
      <c r="C19" s="10">
        <f>G5</f>
        <v>21</v>
      </c>
      <c r="D19" s="29">
        <v>16.010000000000002</v>
      </c>
      <c r="E19" s="29">
        <v>2.04</v>
      </c>
      <c r="F19" s="110">
        <v>0.58012594958407759</v>
      </c>
      <c r="G19" s="22">
        <f>D19/(C19+E19)^F19</f>
        <v>2.5940592561695901</v>
      </c>
      <c r="H19" s="11"/>
    </row>
    <row r="20" spans="1:8" x14ac:dyDescent="0.25">
      <c r="A20" s="4"/>
      <c r="B20" s="6">
        <v>5</v>
      </c>
      <c r="C20" s="10">
        <f t="shared" ref="C20:C25" si="0">C19</f>
        <v>21</v>
      </c>
      <c r="D20" s="29">
        <v>20.04</v>
      </c>
      <c r="E20" s="29">
        <v>2.06</v>
      </c>
      <c r="F20" s="110">
        <v>0.58242136391490207</v>
      </c>
      <c r="G20" s="22">
        <f t="shared" ref="G20:G25" si="1">D20/(C20+E20)^F20</f>
        <v>3.2221024352188459</v>
      </c>
      <c r="H20" s="1"/>
    </row>
    <row r="21" spans="1:8" x14ac:dyDescent="0.25">
      <c r="A21" s="4"/>
      <c r="B21" s="6">
        <v>10</v>
      </c>
      <c r="C21" s="10">
        <f t="shared" si="0"/>
        <v>21</v>
      </c>
      <c r="D21" s="29">
        <v>23.52</v>
      </c>
      <c r="E21" s="29">
        <v>2.08</v>
      </c>
      <c r="F21" s="110">
        <v>0.58394276173254833</v>
      </c>
      <c r="G21" s="22">
        <f t="shared" si="1"/>
        <v>3.7617128170025707</v>
      </c>
      <c r="H21" s="1"/>
    </row>
    <row r="22" spans="1:8" x14ac:dyDescent="0.25">
      <c r="A22" s="1"/>
      <c r="B22" s="6">
        <v>25</v>
      </c>
      <c r="C22" s="10">
        <f t="shared" si="0"/>
        <v>21</v>
      </c>
      <c r="D22" s="29">
        <v>28.45</v>
      </c>
      <c r="E22" s="29">
        <v>2.08</v>
      </c>
      <c r="F22" s="110">
        <v>0.58519332476028163</v>
      </c>
      <c r="G22" s="22">
        <f t="shared" si="1"/>
        <v>4.5323743999615047</v>
      </c>
      <c r="H22" s="1"/>
    </row>
    <row r="23" spans="1:8" x14ac:dyDescent="0.25">
      <c r="A23" s="1"/>
      <c r="B23" s="6">
        <v>50</v>
      </c>
      <c r="C23" s="10">
        <f t="shared" si="0"/>
        <v>21</v>
      </c>
      <c r="D23" s="29">
        <v>32.630000000000003</v>
      </c>
      <c r="E23" s="29">
        <v>2.13</v>
      </c>
      <c r="F23" s="110">
        <v>0.58701792173880696</v>
      </c>
      <c r="G23" s="22">
        <f>D23/(C23+E23)^F23</f>
        <v>5.1620419426283464</v>
      </c>
      <c r="H23" s="1"/>
    </row>
    <row r="24" spans="1:8" x14ac:dyDescent="0.25">
      <c r="A24" s="1"/>
      <c r="B24" s="6">
        <v>100</v>
      </c>
      <c r="C24" s="10">
        <f t="shared" si="0"/>
        <v>21</v>
      </c>
      <c r="D24" s="29">
        <v>36.85</v>
      </c>
      <c r="E24" s="29">
        <v>2.14</v>
      </c>
      <c r="F24" s="110">
        <v>0.58800570403797936</v>
      </c>
      <c r="G24" s="22">
        <f t="shared" si="1"/>
        <v>5.8101060205709443</v>
      </c>
      <c r="H24" s="1"/>
    </row>
    <row r="25" spans="1:8" x14ac:dyDescent="0.25">
      <c r="A25" s="1"/>
      <c r="B25" s="6">
        <v>200</v>
      </c>
      <c r="C25" s="10">
        <f t="shared" si="0"/>
        <v>21</v>
      </c>
      <c r="D25" s="29">
        <v>40.75</v>
      </c>
      <c r="E25" s="29">
        <v>2.0299999999999998</v>
      </c>
      <c r="F25" s="110">
        <v>0.58583884311148982</v>
      </c>
      <c r="G25" s="22">
        <f t="shared" si="1"/>
        <v>6.4869852207463659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577" t="s">
        <v>28</v>
      </c>
      <c r="E27" s="577"/>
      <c r="F27" s="577"/>
      <c r="G27" s="1"/>
      <c r="H27" s="1"/>
    </row>
    <row r="28" spans="1:8" x14ac:dyDescent="0.25">
      <c r="A28" s="1"/>
      <c r="B28" s="1"/>
      <c r="C28" s="1"/>
      <c r="D28" s="1"/>
      <c r="E28" s="6" t="s">
        <v>120</v>
      </c>
      <c r="F28" s="1"/>
      <c r="G28" s="1"/>
      <c r="H28" s="1"/>
    </row>
    <row r="29" spans="1:8" x14ac:dyDescent="0.25">
      <c r="A29" s="1"/>
      <c r="B29" s="8">
        <v>2</v>
      </c>
      <c r="C29" s="8">
        <v>5</v>
      </c>
      <c r="D29" s="8">
        <v>10</v>
      </c>
      <c r="E29" s="8">
        <v>25</v>
      </c>
      <c r="F29" s="8">
        <v>50</v>
      </c>
      <c r="G29" s="8">
        <v>100</v>
      </c>
      <c r="H29" s="8">
        <v>200</v>
      </c>
    </row>
    <row r="30" spans="1:8" ht="15" customHeight="1" x14ac:dyDescent="0.25">
      <c r="A30" s="174" t="s">
        <v>29</v>
      </c>
      <c r="B30" s="179" t="s">
        <v>385</v>
      </c>
      <c r="C30" s="179" t="s">
        <v>385</v>
      </c>
      <c r="D30" s="179" t="s">
        <v>385</v>
      </c>
      <c r="E30" s="179" t="s">
        <v>385</v>
      </c>
      <c r="F30" s="179" t="s">
        <v>385</v>
      </c>
      <c r="G30" s="179" t="s">
        <v>385</v>
      </c>
      <c r="H30" s="179" t="s">
        <v>385</v>
      </c>
    </row>
    <row r="31" spans="1:8" x14ac:dyDescent="0.25">
      <c r="A31" s="1">
        <v>5</v>
      </c>
      <c r="B31" s="10">
        <f>$D$19/(A31+$E$19)^$F$19</f>
        <v>5.1605077926131564</v>
      </c>
      <c r="C31" s="10">
        <f>$D$20/(A31+$E$20)^$F$20</f>
        <v>6.4200103100174601</v>
      </c>
      <c r="D31" s="10">
        <f>$D$21/(A31+$E$21)^$F$21</f>
        <v>7.5000912857216324</v>
      </c>
      <c r="E31" s="10">
        <f>$D$22/(A31+$E$22)^$F$22</f>
        <v>9.049997984960708</v>
      </c>
      <c r="F31" s="10">
        <f>$D$23/(A31+$E$23)^$F$23</f>
        <v>10.30002386398</v>
      </c>
      <c r="G31" s="10">
        <f>$D$24/(A31+$E$24)^$F$24</f>
        <v>11.600002268125207</v>
      </c>
      <c r="H31" s="10">
        <f>$D$25/(A31+$E$25)^$F$25</f>
        <v>13.000147663091427</v>
      </c>
    </row>
    <row r="32" spans="1:8" x14ac:dyDescent="0.25">
      <c r="A32" s="1">
        <v>10</v>
      </c>
      <c r="B32" s="10">
        <f>$D$19/(A32+$E$19)^$F$19</f>
        <v>3.7800005675804433</v>
      </c>
      <c r="C32" s="10">
        <f>$D$20/(A32+$E$20)^$F$20</f>
        <v>4.7000009240223113</v>
      </c>
      <c r="D32" s="10">
        <f>$D$21/(A32+$E$21)^$F$21</f>
        <v>5.4899977115412923</v>
      </c>
      <c r="E32" s="10">
        <f>$D$22/(A32+$E$22)^$F$22</f>
        <v>6.6200904594094458</v>
      </c>
      <c r="F32" s="10">
        <f>$D$23/(A32+$E$23)^$F$23</f>
        <v>7.5400002281169192</v>
      </c>
      <c r="G32" s="10">
        <f>$D$24/(A32+$E$24)^$F$24</f>
        <v>8.4900592281194438</v>
      </c>
      <c r="H32" s="10">
        <f>$D$25/(A32+$E$25)^$F$25</f>
        <v>9.4899964005030579</v>
      </c>
    </row>
    <row r="33" spans="1:8" x14ac:dyDescent="0.25">
      <c r="A33" s="1">
        <v>15</v>
      </c>
      <c r="B33" s="10">
        <f>$D$19/(A33+$E$19)^$F$19</f>
        <v>3.090180633207511</v>
      </c>
      <c r="C33" s="10">
        <f>$D$20/(A33+$E$20)^$F$20</f>
        <v>3.8403146767819059</v>
      </c>
      <c r="D33" s="10">
        <f>$D$21/(A33+$E$21)^$F$21</f>
        <v>4.4847160298460693</v>
      </c>
      <c r="E33" s="10">
        <f>$D$22/(A33+$E$22)^$F$22</f>
        <v>5.4055339396766264</v>
      </c>
      <c r="F33" s="10">
        <f>$D$23/(A33+$E$23)^$F$23</f>
        <v>6.1571451326559101</v>
      </c>
      <c r="G33" s="10">
        <f>$D$24/(A33+$E$24)^$F$24</f>
        <v>6.9315776481842706</v>
      </c>
      <c r="H33" s="10">
        <f>$D$25/(A33+$E$25)^$F$25</f>
        <v>7.7416627475777799</v>
      </c>
    </row>
    <row r="34" spans="1:8" x14ac:dyDescent="0.25">
      <c r="A34" s="1">
        <v>30</v>
      </c>
      <c r="B34" s="10">
        <f>$D$19/(A34+$E$19)^$F$19</f>
        <v>2.1423974180745193</v>
      </c>
      <c r="C34" s="10">
        <f>$D$20/(A34+$E$20)^$F$20</f>
        <v>2.6594534378583177</v>
      </c>
      <c r="D34" s="10">
        <f>$D$21/(A34+$E$21)^$F$21</f>
        <v>3.1037209352392665</v>
      </c>
      <c r="E34" s="10">
        <f>$D$22/(A34+$E$22)^$F$22</f>
        <v>3.7380402891794891</v>
      </c>
      <c r="F34" s="10">
        <f>$D$23/(A34+$E$23)^$F$23</f>
        <v>4.2563121561340074</v>
      </c>
      <c r="G34" s="10">
        <f>$D$24/(A34+$E$24)^$F$24</f>
        <v>4.7894530791395882</v>
      </c>
      <c r="H34" s="10">
        <f>$D$25/(A34+$E$25)^$F$25</f>
        <v>5.3470454778540786</v>
      </c>
    </row>
    <row r="35" spans="1:8" x14ac:dyDescent="0.25">
      <c r="A35" s="1">
        <v>60</v>
      </c>
      <c r="B35" s="10">
        <f>$D$19/(A35+$E$19)^$F$19</f>
        <v>1.4602119825366839</v>
      </c>
      <c r="C35" s="10">
        <f>$D$20/(A35+$E$20)^$F$20</f>
        <v>1.8101969972061571</v>
      </c>
      <c r="D35" s="10">
        <f>$D$21/(A35+$E$21)^$F$21</f>
        <v>2.1108440334359941</v>
      </c>
      <c r="E35" s="10">
        <f>$D$22/(A35+$E$22)^$F$22</f>
        <v>2.5401472876914388</v>
      </c>
      <c r="F35" s="10">
        <f>$D$23/(A35+$E$23)^$F$23</f>
        <v>2.8901277512435271</v>
      </c>
      <c r="G35" s="10">
        <f>$D$24/(A35+$E$24)^$F$24</f>
        <v>3.2503113797534189</v>
      </c>
      <c r="H35" s="10">
        <f>$D$25/(A35+$E$25)^$F$25</f>
        <v>3.6303781061925648</v>
      </c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68" t="s">
        <v>14</v>
      </c>
      <c r="C37" s="284" t="s">
        <v>30</v>
      </c>
      <c r="D37" s="12"/>
      <c r="E37" s="12"/>
      <c r="F37" s="12"/>
      <c r="G37" s="12"/>
      <c r="H37" s="12"/>
    </row>
    <row r="38" spans="1:8" x14ac:dyDescent="0.25">
      <c r="A38" s="1"/>
      <c r="B38" s="168" t="s">
        <v>19</v>
      </c>
      <c r="C38" s="284" t="s">
        <v>31</v>
      </c>
      <c r="D38" s="12"/>
      <c r="E38" s="10"/>
      <c r="F38" s="12"/>
      <c r="G38" s="12"/>
      <c r="H38" s="12"/>
    </row>
    <row r="39" spans="1:8" ht="15" customHeight="1" x14ac:dyDescent="0.25">
      <c r="A39" s="1"/>
      <c r="B39" s="176" t="s">
        <v>25</v>
      </c>
      <c r="C39" s="176" t="s">
        <v>386</v>
      </c>
      <c r="D39" s="1"/>
      <c r="E39" s="6"/>
      <c r="F39" s="116"/>
      <c r="G39" s="1"/>
      <c r="H39" s="1"/>
    </row>
    <row r="40" spans="1:8" x14ac:dyDescent="0.25">
      <c r="A40" s="1"/>
      <c r="B40" s="168">
        <v>2</v>
      </c>
      <c r="C40" s="169">
        <f t="shared" ref="C40:C46" si="2">$G$4*G19*$G$3</f>
        <v>102.98000197512286</v>
      </c>
      <c r="D40" s="1"/>
      <c r="E40" s="6"/>
      <c r="F40" s="1"/>
      <c r="G40" s="1"/>
      <c r="H40" s="1"/>
    </row>
    <row r="41" spans="1:8" x14ac:dyDescent="0.25">
      <c r="A41" s="1"/>
      <c r="B41" s="168">
        <v>5</v>
      </c>
      <c r="C41" s="170">
        <f t="shared" si="2"/>
        <v>127.91231131429183</v>
      </c>
      <c r="D41" s="1"/>
      <c r="E41" s="6"/>
      <c r="F41" s="1"/>
      <c r="G41" s="1"/>
      <c r="H41" s="1"/>
    </row>
    <row r="42" spans="1:8" x14ac:dyDescent="0.25">
      <c r="A42" s="1"/>
      <c r="B42" s="168">
        <v>10</v>
      </c>
      <c r="C42" s="170">
        <f t="shared" si="2"/>
        <v>149.33398009449485</v>
      </c>
      <c r="D42" s="1"/>
      <c r="E42" s="6"/>
      <c r="F42" s="1"/>
      <c r="G42" s="1"/>
      <c r="H42" s="1"/>
    </row>
    <row r="43" spans="1:8" x14ac:dyDescent="0.25">
      <c r="A43" s="1"/>
      <c r="B43" s="168">
        <v>25</v>
      </c>
      <c r="C43" s="170">
        <f t="shared" si="2"/>
        <v>179.92801187943178</v>
      </c>
      <c r="D43" s="1"/>
      <c r="E43" s="6"/>
      <c r="F43" s="1"/>
      <c r="G43" s="1"/>
      <c r="H43" s="1"/>
    </row>
    <row r="44" spans="1:8" x14ac:dyDescent="0.25">
      <c r="A44" s="1"/>
      <c r="B44" s="168">
        <v>50</v>
      </c>
      <c r="C44" s="170">
        <f t="shared" si="2"/>
        <v>204.92480585523711</v>
      </c>
      <c r="D44" s="1"/>
      <c r="E44" s="6"/>
      <c r="F44" s="1"/>
      <c r="G44" s="1"/>
      <c r="H44" s="1"/>
    </row>
    <row r="45" spans="1:8" x14ac:dyDescent="0.25">
      <c r="A45" s="1"/>
      <c r="B45" s="168">
        <v>100</v>
      </c>
      <c r="C45" s="170">
        <f t="shared" si="2"/>
        <v>230.65191284703357</v>
      </c>
      <c r="D45" s="1"/>
      <c r="E45" s="6"/>
      <c r="F45" s="1"/>
      <c r="G45" s="1"/>
      <c r="H45" s="1"/>
    </row>
    <row r="46" spans="1:8" x14ac:dyDescent="0.25">
      <c r="A46" s="1"/>
      <c r="B46" s="168">
        <v>200</v>
      </c>
      <c r="C46" s="170">
        <f t="shared" si="2"/>
        <v>257.52293408727752</v>
      </c>
      <c r="D46" s="1"/>
      <c r="E46" s="1"/>
      <c r="F46" s="1"/>
      <c r="G46" s="1"/>
      <c r="H46" s="1"/>
    </row>
  </sheetData>
  <sheetProtection algorithmName="SHA-512" hashValue="bMuUeyuhDD7pAd6SLc6IavVtMyxCdMmGsK1B0Nzal4b6kizbnXYmHlogif9yB3v6fHJ2BvlOhKVO1i/8XRMTbw==" saltValue="36tu8xzbqtpw197NZcZ7XQ==" spinCount="100000" sheet="1" objects="1" scenarios="1" selectLockedCells="1"/>
  <mergeCells count="3">
    <mergeCell ref="C1:F1"/>
    <mergeCell ref="D15:F15"/>
    <mergeCell ref="D27:F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63E0A8-EDE1-472B-85EB-56360F92A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D9FAC9-23B9-4862-89FD-C287FCC631C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D101F-29F6-4A6E-BBD1-67EB7F310E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Flow Chart</vt:lpstr>
      <vt:lpstr>Point Intensities</vt:lpstr>
      <vt:lpstr>Kirpich tc</vt:lpstr>
      <vt:lpstr>Impervious Area, IA</vt:lpstr>
      <vt:lpstr>Composite C</vt:lpstr>
      <vt:lpstr>Andalusia</vt:lpstr>
      <vt:lpstr>Anniston</vt:lpstr>
      <vt:lpstr>Birmingham</vt:lpstr>
      <vt:lpstr>Bridgeport</vt:lpstr>
      <vt:lpstr>Dauphin Island</vt:lpstr>
      <vt:lpstr>Dothan</vt:lpstr>
      <vt:lpstr>Eufaula</vt:lpstr>
      <vt:lpstr>Evergreen</vt:lpstr>
      <vt:lpstr>Florence</vt:lpstr>
      <vt:lpstr>Fort Payne</vt:lpstr>
      <vt:lpstr>Hamilton</vt:lpstr>
      <vt:lpstr> Huntsville Intnl</vt:lpstr>
      <vt:lpstr>Jackson</vt:lpstr>
      <vt:lpstr>Livingston</vt:lpstr>
      <vt:lpstr>Mobile</vt:lpstr>
      <vt:lpstr>Montgomery</vt:lpstr>
      <vt:lpstr>Mount Vernon</vt:lpstr>
      <vt:lpstr>Oneonta</vt:lpstr>
      <vt:lpstr>Opelika</vt:lpstr>
      <vt:lpstr>Prattville</vt:lpstr>
      <vt:lpstr>Thomasville</vt:lpstr>
      <vt:lpstr>Troy</vt:lpstr>
      <vt:lpstr>Tuscaloosa</vt:lpstr>
      <vt:lpstr>Flood Regions</vt:lpstr>
      <vt:lpstr>10-85% Slope</vt:lpstr>
      <vt:lpstr>2020 Large Regression Equations</vt:lpstr>
      <vt:lpstr>P D</vt:lpstr>
      <vt:lpstr>2020 Small Rural Regression Eq.</vt:lpstr>
      <vt:lpstr>2010 Urban Regression Eq.</vt:lpstr>
      <vt:lpstr>Hydrograph</vt:lpstr>
      <vt:lpstr>Runoff Volume</vt:lpstr>
      <vt:lpstr>2007 Large Rural Regression Eq.</vt:lpstr>
      <vt:lpstr>2004 Small Rural Regression Eq.</vt:lpstr>
      <vt:lpstr>Intensity Coefficients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Ramsey, David</dc:creator>
  <cp:lastModifiedBy>Gillis, Michael</cp:lastModifiedBy>
  <cp:lastPrinted>2022-05-19T16:58:35Z</cp:lastPrinted>
  <dcterms:created xsi:type="dcterms:W3CDTF">2016-06-14T21:04:32Z</dcterms:created>
  <dcterms:modified xsi:type="dcterms:W3CDTF">2024-01-04T17:22:54Z</dcterms:modified>
</cp:coreProperties>
</file>