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drawings/drawing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4.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drawings/drawing5.xml" ContentType="application/vnd.openxmlformats-officedocument.drawing+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6.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sanforda\Desktop\Design Policies\"/>
    </mc:Choice>
  </mc:AlternateContent>
  <xr:revisionPtr revIDLastSave="0" documentId="13_ncr:1_{927096B6-BADF-481F-99C8-670D498F7DE4}" xr6:coauthVersionLast="41" xr6:coauthVersionMax="45" xr10:uidLastSave="{00000000-0000-0000-0000-000000000000}"/>
  <bookViews>
    <workbookView xWindow="4590" yWindow="3240" windowWidth="21600" windowHeight="11385" activeTab="1" xr2:uid="{00000000-000D-0000-FFFF-FFFF00000000}"/>
  </bookViews>
  <sheets>
    <sheet name="ReadMe" sheetId="15" r:id="rId1"/>
    <sheet name="R2U_Project" sheetId="1" r:id="rId2"/>
    <sheet name="R2U_Setup" sheetId="2" r:id="rId3"/>
    <sheet name="R2U_Calculations" sheetId="3" r:id="rId4"/>
    <sheet name="R2U_Ref" sheetId="4" r:id="rId5"/>
    <sheet name="R4UD_Project" sheetId="10" r:id="rId6"/>
    <sheet name="R4UD_Setup" sheetId="11" r:id="rId7"/>
    <sheet name="R4UD_Calculations" sheetId="12" r:id="rId8"/>
    <sheet name="R4UD_Ref" sheetId="13" r:id="rId9"/>
    <sheet name="FWY_Project" sheetId="22" r:id="rId10"/>
    <sheet name="FWY_Setup" sheetId="23" r:id="rId11"/>
    <sheet name="FWY_Calculations" sheetId="24" r:id="rId12"/>
    <sheet name="FWY_Ref" sheetId="25" r:id="rId13"/>
    <sheet name="FWYS_eRef" sheetId="26" r:id="rId14"/>
    <sheet name="R4UD_eRef" sheetId="14" r:id="rId15"/>
    <sheet name="R2U_eRef" sheetId="5" r:id="rId16"/>
  </sheets>
  <definedNames>
    <definedName name="_xlnm.Print_Area" localSheetId="1">'R2U_Project'!$B$1:$P$38</definedName>
    <definedName name="_xlnm.Print_Area" localSheetId="5">'R4UD_Project'!$A$1:$P$40</definedName>
    <definedName name="solver_adj" localSheetId="4" hidden="1">'R2U_Ref'!#REF!</definedName>
    <definedName name="solver_cvg" localSheetId="4" hidden="1">0.0001</definedName>
    <definedName name="solver_drv" localSheetId="4" hidden="1">2</definedName>
    <definedName name="solver_eng" localSheetId="4" hidden="1">1</definedName>
    <definedName name="solver_est" localSheetId="4" hidden="1">1</definedName>
    <definedName name="solver_itr" localSheetId="4" hidden="1">2147483647</definedName>
    <definedName name="solver_mip" localSheetId="4" hidden="1">2147483647</definedName>
    <definedName name="solver_mni" localSheetId="4" hidden="1">30</definedName>
    <definedName name="solver_mrt" localSheetId="4" hidden="1">0.075</definedName>
    <definedName name="solver_msl" localSheetId="4" hidden="1">2</definedName>
    <definedName name="solver_neg" localSheetId="4" hidden="1">1</definedName>
    <definedName name="solver_nod" localSheetId="4" hidden="1">2147483647</definedName>
    <definedName name="solver_num" localSheetId="4" hidden="1">0</definedName>
    <definedName name="solver_nwt" localSheetId="4" hidden="1">1</definedName>
    <definedName name="solver_opt" localSheetId="4" hidden="1">'R2U_Ref'!$F$156</definedName>
    <definedName name="solver_pre" localSheetId="4" hidden="1">0.000001</definedName>
    <definedName name="solver_rbv" localSheetId="4" hidden="1">2</definedName>
    <definedName name="solver_rlx" localSheetId="4" hidden="1">2</definedName>
    <definedName name="solver_rsd" localSheetId="4" hidden="1">0</definedName>
    <definedName name="solver_scl" localSheetId="4" hidden="1">2</definedName>
    <definedName name="solver_sho" localSheetId="4" hidden="1">2</definedName>
    <definedName name="solver_ssz" localSheetId="4" hidden="1">100</definedName>
    <definedName name="solver_tim" localSheetId="4" hidden="1">2147483647</definedName>
    <definedName name="solver_tol" localSheetId="4" hidden="1">0.01</definedName>
    <definedName name="solver_typ" localSheetId="4" hidden="1">3</definedName>
    <definedName name="solver_val" localSheetId="4" hidden="1">1200</definedName>
    <definedName name="solver_ver" localSheetId="4"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4" i="2" l="1"/>
  <c r="R23" i="3" l="1"/>
  <c r="G16" i="4" l="1"/>
  <c r="G15" i="4"/>
  <c r="G14" i="4"/>
  <c r="G13" i="4"/>
  <c r="G12" i="4"/>
  <c r="G11" i="4"/>
  <c r="G10" i="4"/>
  <c r="G9" i="4"/>
  <c r="G8" i="4"/>
  <c r="G7" i="4"/>
  <c r="G16" i="13"/>
  <c r="G15" i="13"/>
  <c r="G14" i="13"/>
  <c r="G13" i="13"/>
  <c r="G12" i="13"/>
  <c r="G11" i="13"/>
  <c r="G10" i="13"/>
  <c r="G9" i="13"/>
  <c r="G8" i="13"/>
  <c r="G7" i="13"/>
  <c r="C20" i="25" l="1"/>
  <c r="O23" i="3" l="1"/>
  <c r="J64" i="12" l="1"/>
  <c r="J58" i="12"/>
  <c r="J52" i="12"/>
  <c r="I124" i="25"/>
  <c r="I123" i="25"/>
  <c r="I122" i="25"/>
  <c r="J78" i="22" l="1"/>
  <c r="J77" i="22"/>
  <c r="J76" i="22"/>
  <c r="J75" i="22"/>
  <c r="J74" i="22"/>
  <c r="J73" i="22"/>
  <c r="J72" i="22"/>
  <c r="J71" i="22"/>
  <c r="J70" i="22"/>
  <c r="J69" i="22"/>
  <c r="B315" i="25" l="1"/>
  <c r="B316" i="25"/>
  <c r="B317" i="25"/>
  <c r="B318" i="25"/>
  <c r="B319" i="25"/>
  <c r="B320" i="25"/>
  <c r="B321" i="25"/>
  <c r="B322" i="25"/>
  <c r="B323" i="25"/>
  <c r="B314" i="25"/>
  <c r="B288" i="25"/>
  <c r="B289" i="25"/>
  <c r="B290" i="25"/>
  <c r="B291" i="25"/>
  <c r="B292" i="25"/>
  <c r="B293" i="25"/>
  <c r="B294" i="25"/>
  <c r="B295" i="25"/>
  <c r="B296" i="25"/>
  <c r="B287" i="25"/>
  <c r="D341" i="25" l="1"/>
  <c r="C341" i="25"/>
  <c r="C2" i="26"/>
  <c r="F2" i="26"/>
  <c r="I2" i="26"/>
  <c r="I5" i="26" s="1"/>
  <c r="L2" i="26"/>
  <c r="L5" i="26" s="1"/>
  <c r="L7" i="26" s="1"/>
  <c r="O2" i="26"/>
  <c r="O5" i="26" s="1"/>
  <c r="O6" i="26" s="1"/>
  <c r="O9" i="26" s="1"/>
  <c r="R2" i="26"/>
  <c r="R5" i="26" s="1"/>
  <c r="R6" i="26" s="1"/>
  <c r="U2" i="26"/>
  <c r="U5" i="26" s="1"/>
  <c r="U7" i="26" s="1"/>
  <c r="X2" i="26"/>
  <c r="X5" i="26" s="1"/>
  <c r="X7" i="26" s="1"/>
  <c r="AA2" i="26"/>
  <c r="AA5" i="26" s="1"/>
  <c r="AA6" i="26" s="1"/>
  <c r="AA9" i="26" s="1"/>
  <c r="AD2" i="26"/>
  <c r="AD5" i="26" s="1"/>
  <c r="AD6" i="26" s="1"/>
  <c r="AD9" i="26" s="1"/>
  <c r="AG2" i="26"/>
  <c r="AG5" i="26" s="1"/>
  <c r="AG7" i="26" s="1"/>
  <c r="AJ2" i="26"/>
  <c r="AJ5" i="26" s="1"/>
  <c r="AJ7" i="26" s="1"/>
  <c r="AM2" i="26"/>
  <c r="AM5" i="26" s="1"/>
  <c r="AM6" i="26" s="1"/>
  <c r="AM9" i="26" s="1"/>
  <c r="AP2" i="26"/>
  <c r="AP5" i="26" s="1"/>
  <c r="AP6" i="26" s="1"/>
  <c r="AS2" i="26"/>
  <c r="AS5" i="26" s="1"/>
  <c r="AV2" i="26"/>
  <c r="AV5" i="26" s="1"/>
  <c r="AY2" i="26"/>
  <c r="AY5" i="26" s="1"/>
  <c r="AY7" i="26" s="1"/>
  <c r="BB2" i="26"/>
  <c r="BB5" i="26" s="1"/>
  <c r="BE2" i="26"/>
  <c r="BE5" i="26" s="1"/>
  <c r="BH2" i="26"/>
  <c r="BH5" i="26" s="1"/>
  <c r="C3" i="26"/>
  <c r="C14" i="26" s="1"/>
  <c r="F3" i="26"/>
  <c r="F14" i="26" s="1"/>
  <c r="I3" i="26"/>
  <c r="I14" i="26" s="1"/>
  <c r="L3" i="26"/>
  <c r="L14" i="26" s="1"/>
  <c r="O3" i="26"/>
  <c r="R3" i="26"/>
  <c r="R14" i="26" s="1"/>
  <c r="U3" i="26"/>
  <c r="U14" i="26" s="1"/>
  <c r="X3" i="26"/>
  <c r="X14" i="26" s="1"/>
  <c r="AA3" i="26"/>
  <c r="AA14" i="26" s="1"/>
  <c r="AD3" i="26"/>
  <c r="AD14" i="26" s="1"/>
  <c r="AG3" i="26"/>
  <c r="AG14" i="26" s="1"/>
  <c r="AJ3" i="26"/>
  <c r="AJ14" i="26" s="1"/>
  <c r="AM3" i="26"/>
  <c r="AM14" i="26" s="1"/>
  <c r="AP3" i="26"/>
  <c r="AP14" i="26" s="1"/>
  <c r="AS3" i="26"/>
  <c r="AV3" i="26"/>
  <c r="AV14" i="26" s="1"/>
  <c r="AY3" i="26"/>
  <c r="AY14" i="26" s="1"/>
  <c r="BB3" i="26"/>
  <c r="BB14" i="26" s="1"/>
  <c r="BE3" i="26"/>
  <c r="BH3" i="26"/>
  <c r="BH14" i="26" s="1"/>
  <c r="C4" i="26"/>
  <c r="F4" i="26"/>
  <c r="I4" i="26"/>
  <c r="L4" i="26"/>
  <c r="O4" i="26"/>
  <c r="R4" i="26"/>
  <c r="U4" i="26"/>
  <c r="X4" i="26"/>
  <c r="AA4" i="26"/>
  <c r="AD4" i="26"/>
  <c r="AG4" i="26"/>
  <c r="AJ4" i="26"/>
  <c r="AM4" i="26"/>
  <c r="AP4" i="26"/>
  <c r="AS4" i="26"/>
  <c r="AV4" i="26"/>
  <c r="AY4" i="26"/>
  <c r="BB4" i="26"/>
  <c r="BE4" i="26"/>
  <c r="BH4" i="26"/>
  <c r="C5" i="26"/>
  <c r="C7" i="26" s="1"/>
  <c r="C8" i="26" s="1"/>
  <c r="F5" i="26"/>
  <c r="F6" i="26" s="1"/>
  <c r="F9" i="26" s="1"/>
  <c r="AS14" i="26"/>
  <c r="BE14" i="26"/>
  <c r="G7" i="25"/>
  <c r="N13" i="25"/>
  <c r="E23" i="24" s="1"/>
  <c r="N15" i="25"/>
  <c r="R36" i="24" s="1"/>
  <c r="C18" i="25"/>
  <c r="D80" i="25"/>
  <c r="I80" i="25"/>
  <c r="D81" i="25"/>
  <c r="I81" i="25"/>
  <c r="D82" i="25"/>
  <c r="D83" i="25"/>
  <c r="D84" i="25"/>
  <c r="D85" i="25"/>
  <c r="D86" i="25"/>
  <c r="D87" i="25"/>
  <c r="E88" i="25"/>
  <c r="O5" i="24" s="1"/>
  <c r="O7" i="24" s="1"/>
  <c r="L11" i="24" s="1"/>
  <c r="D89" i="25"/>
  <c r="D90" i="25"/>
  <c r="D91" i="25"/>
  <c r="D92" i="25"/>
  <c r="D93" i="25"/>
  <c r="D94" i="25"/>
  <c r="D95" i="25"/>
  <c r="D96" i="25"/>
  <c r="D97" i="25"/>
  <c r="D98" i="25"/>
  <c r="D99" i="25"/>
  <c r="E100" i="25"/>
  <c r="O92" i="24" s="1"/>
  <c r="D101" i="25"/>
  <c r="D102" i="25"/>
  <c r="D103" i="25"/>
  <c r="D104" i="25"/>
  <c r="D105" i="25"/>
  <c r="D106" i="25"/>
  <c r="D107" i="25"/>
  <c r="D108" i="25"/>
  <c r="D109" i="25"/>
  <c r="D110" i="25"/>
  <c r="D111" i="25"/>
  <c r="E112" i="25"/>
  <c r="D114" i="25"/>
  <c r="D115" i="25"/>
  <c r="F117" i="25" s="1"/>
  <c r="D116" i="25"/>
  <c r="E117" i="25"/>
  <c r="C118" i="25"/>
  <c r="C119" i="25"/>
  <c r="I127" i="25"/>
  <c r="J127" i="25"/>
  <c r="I128" i="25"/>
  <c r="J128" i="25"/>
  <c r="I129" i="25"/>
  <c r="J129" i="25"/>
  <c r="K131" i="25"/>
  <c r="E133" i="25"/>
  <c r="B138" i="25"/>
  <c r="C138" i="25"/>
  <c r="D138" i="25"/>
  <c r="B139" i="25"/>
  <c r="C139" i="25"/>
  <c r="D139" i="25"/>
  <c r="B140" i="25"/>
  <c r="C140" i="25"/>
  <c r="D140" i="25"/>
  <c r="B141" i="25"/>
  <c r="C150" i="25"/>
  <c r="C151" i="25"/>
  <c r="C152" i="25"/>
  <c r="C154" i="25"/>
  <c r="D182" i="25"/>
  <c r="B186" i="25"/>
  <c r="G192" i="25"/>
  <c r="G198" i="25" s="1"/>
  <c r="G193" i="25"/>
  <c r="G201" i="25" s="1"/>
  <c r="G199" i="25"/>
  <c r="G200" i="25"/>
  <c r="C238" i="25"/>
  <c r="F238" i="25"/>
  <c r="C239" i="25"/>
  <c r="F239" i="25"/>
  <c r="C240" i="25"/>
  <c r="F240" i="25"/>
  <c r="C241" i="25"/>
  <c r="F241" i="25"/>
  <c r="C242" i="25"/>
  <c r="F242" i="25"/>
  <c r="C243" i="25"/>
  <c r="F243" i="25"/>
  <c r="C244" i="25"/>
  <c r="F244" i="25"/>
  <c r="C245" i="25"/>
  <c r="F245" i="25"/>
  <c r="C246" i="25"/>
  <c r="F246" i="25"/>
  <c r="C247" i="25"/>
  <c r="F247" i="25"/>
  <c r="C256" i="25"/>
  <c r="F256" i="25"/>
  <c r="C257" i="25"/>
  <c r="F257" i="25"/>
  <c r="C258" i="25"/>
  <c r="F258" i="25"/>
  <c r="C259" i="25"/>
  <c r="F259" i="25"/>
  <c r="C260" i="25"/>
  <c r="F260" i="25"/>
  <c r="C261" i="25"/>
  <c r="F261" i="25"/>
  <c r="C262" i="25"/>
  <c r="F262" i="25"/>
  <c r="C263" i="25"/>
  <c r="F263" i="25"/>
  <c r="C264" i="25"/>
  <c r="F264" i="25"/>
  <c r="C265" i="25"/>
  <c r="F265" i="25"/>
  <c r="B271" i="25"/>
  <c r="B272" i="25"/>
  <c r="B273" i="25"/>
  <c r="E277" i="25"/>
  <c r="E278" i="25"/>
  <c r="E279" i="25"/>
  <c r="E280" i="25"/>
  <c r="E281" i="25"/>
  <c r="E282" i="25"/>
  <c r="E283" i="25"/>
  <c r="E284" i="25"/>
  <c r="E285" i="25"/>
  <c r="E286" i="25"/>
  <c r="C287" i="25"/>
  <c r="E287" i="25"/>
  <c r="C288" i="25"/>
  <c r="E288" i="25"/>
  <c r="C289" i="25"/>
  <c r="E289" i="25"/>
  <c r="C290" i="25"/>
  <c r="E290" i="25"/>
  <c r="C291" i="25"/>
  <c r="E291" i="25"/>
  <c r="C292" i="25"/>
  <c r="E292" i="25"/>
  <c r="C293" i="25"/>
  <c r="E293" i="25"/>
  <c r="C294" i="25"/>
  <c r="E294" i="25"/>
  <c r="C295" i="25"/>
  <c r="E295" i="25"/>
  <c r="C296" i="25"/>
  <c r="E296" i="25"/>
  <c r="E304" i="25"/>
  <c r="E305" i="25"/>
  <c r="E306" i="25"/>
  <c r="E307" i="25"/>
  <c r="E308" i="25"/>
  <c r="E309" i="25"/>
  <c r="E310" i="25"/>
  <c r="E311" i="25"/>
  <c r="E312" i="25"/>
  <c r="E313" i="25"/>
  <c r="C314" i="25"/>
  <c r="E314" i="25"/>
  <c r="C315" i="25"/>
  <c r="E315" i="25"/>
  <c r="C316" i="25"/>
  <c r="E316" i="25"/>
  <c r="C317" i="25"/>
  <c r="E317" i="25"/>
  <c r="C318" i="25"/>
  <c r="E318" i="25"/>
  <c r="C319" i="25"/>
  <c r="E319" i="25"/>
  <c r="C320" i="25"/>
  <c r="E320" i="25"/>
  <c r="C321" i="25"/>
  <c r="E321" i="25"/>
  <c r="C322" i="25"/>
  <c r="E322" i="25"/>
  <c r="C323" i="25"/>
  <c r="E323" i="25"/>
  <c r="B330" i="25"/>
  <c r="C330" i="25"/>
  <c r="B331" i="25"/>
  <c r="C331" i="25"/>
  <c r="B332" i="25"/>
  <c r="C332" i="25"/>
  <c r="B333" i="25"/>
  <c r="C333" i="25"/>
  <c r="B334" i="25"/>
  <c r="C334" i="25"/>
  <c r="E334" i="25" s="1"/>
  <c r="B335" i="25"/>
  <c r="C335" i="25"/>
  <c r="E335" i="25" s="1"/>
  <c r="B336" i="25"/>
  <c r="C336" i="25"/>
  <c r="E336" i="25" s="1"/>
  <c r="B337" i="25"/>
  <c r="C337" i="25"/>
  <c r="E337" i="25" s="1"/>
  <c r="B338" i="25"/>
  <c r="C338" i="25"/>
  <c r="E338" i="25" s="1"/>
  <c r="B339" i="25"/>
  <c r="C339" i="25"/>
  <c r="E339" i="25" s="1"/>
  <c r="F8" i="24"/>
  <c r="F9" i="24"/>
  <c r="L9" i="24"/>
  <c r="F10" i="24"/>
  <c r="F13" i="24"/>
  <c r="F14" i="24"/>
  <c r="F17" i="24"/>
  <c r="G17" i="24"/>
  <c r="F18" i="24"/>
  <c r="O35" i="24"/>
  <c r="O36" i="24"/>
  <c r="O61" i="24"/>
  <c r="O62" i="24" s="1"/>
  <c r="L26" i="24" s="1"/>
  <c r="R61" i="24"/>
  <c r="R62" i="24" s="1"/>
  <c r="L63" i="24" s="1"/>
  <c r="O91" i="24"/>
  <c r="C103" i="24"/>
  <c r="C104" i="24"/>
  <c r="C105" i="24"/>
  <c r="L114" i="24"/>
  <c r="F5" i="23"/>
  <c r="D11" i="25" s="1"/>
  <c r="F6" i="23"/>
  <c r="F7" i="23"/>
  <c r="F9" i="23"/>
  <c r="F10" i="23"/>
  <c r="F12" i="23"/>
  <c r="F13" i="23"/>
  <c r="F15" i="23"/>
  <c r="F16" i="23"/>
  <c r="F21" i="23"/>
  <c r="G11" i="24" s="1"/>
  <c r="F23" i="23"/>
  <c r="G12" i="24" s="1"/>
  <c r="F25" i="23"/>
  <c r="G13" i="24" s="1"/>
  <c r="F27" i="23"/>
  <c r="F29" i="23"/>
  <c r="G20" i="24" s="1"/>
  <c r="F31" i="23"/>
  <c r="F207" i="25" s="1"/>
  <c r="F32" i="23"/>
  <c r="F208" i="25" s="1"/>
  <c r="F33" i="23"/>
  <c r="F209" i="25" s="1"/>
  <c r="F34" i="23"/>
  <c r="G207" i="25" s="1"/>
  <c r="F35" i="23"/>
  <c r="G208" i="25" s="1"/>
  <c r="F36" i="23"/>
  <c r="G209" i="25" s="1"/>
  <c r="F37" i="23"/>
  <c r="G210" i="25" s="1"/>
  <c r="F39" i="23"/>
  <c r="G22" i="24" s="1"/>
  <c r="F41" i="23"/>
  <c r="G24" i="24" s="1"/>
  <c r="F43" i="23"/>
  <c r="G31" i="24" s="1"/>
  <c r="F45" i="23"/>
  <c r="G26" i="24" s="1"/>
  <c r="F47" i="23"/>
  <c r="G27" i="24" s="1"/>
  <c r="F49" i="23"/>
  <c r="G28" i="24" s="1"/>
  <c r="F51" i="23"/>
  <c r="G29" i="24" s="1"/>
  <c r="F54" i="23"/>
  <c r="Q42" i="25" s="1"/>
  <c r="F55" i="23"/>
  <c r="Q43" i="25" s="1"/>
  <c r="F56" i="23"/>
  <c r="Q44" i="25" s="1"/>
  <c r="F57" i="23"/>
  <c r="Q45" i="25" s="1"/>
  <c r="F58" i="23"/>
  <c r="Q46" i="25" s="1"/>
  <c r="F61" i="23"/>
  <c r="R42" i="25" s="1"/>
  <c r="F62" i="23"/>
  <c r="R43" i="25" s="1"/>
  <c r="F63" i="23"/>
  <c r="R44" i="25" s="1"/>
  <c r="F64" i="23"/>
  <c r="R45" i="25" s="1"/>
  <c r="F65" i="23"/>
  <c r="R46" i="25" s="1"/>
  <c r="F68" i="23"/>
  <c r="S42" i="25" s="1"/>
  <c r="F69" i="23"/>
  <c r="S43" i="25" s="1"/>
  <c r="F70" i="23"/>
  <c r="S44" i="25" s="1"/>
  <c r="F71" i="23"/>
  <c r="S45" i="25" s="1"/>
  <c r="F72" i="23"/>
  <c r="S46" i="25" s="1"/>
  <c r="F75" i="23"/>
  <c r="T42" i="25" s="1"/>
  <c r="F76" i="23"/>
  <c r="T43" i="25" s="1"/>
  <c r="F77" i="23"/>
  <c r="T44" i="25" s="1"/>
  <c r="F78" i="23"/>
  <c r="T45" i="25" s="1"/>
  <c r="F79" i="23"/>
  <c r="T46" i="25" s="1"/>
  <c r="F82" i="23"/>
  <c r="U42" i="25" s="1"/>
  <c r="F83" i="23"/>
  <c r="U43" i="25" s="1"/>
  <c r="F84" i="23"/>
  <c r="U44" i="25" s="1"/>
  <c r="F85" i="23"/>
  <c r="U45" i="25" s="1"/>
  <c r="F86" i="23"/>
  <c r="U46" i="25" s="1"/>
  <c r="F89" i="23"/>
  <c r="V42" i="25" s="1"/>
  <c r="F90" i="23"/>
  <c r="V43" i="25" s="1"/>
  <c r="F91" i="23"/>
  <c r="V44" i="25" s="1"/>
  <c r="F92" i="23"/>
  <c r="V45" i="25" s="1"/>
  <c r="F93" i="23"/>
  <c r="V46" i="25" s="1"/>
  <c r="F96" i="23"/>
  <c r="W42" i="25" s="1"/>
  <c r="F97" i="23"/>
  <c r="W43" i="25" s="1"/>
  <c r="F98" i="23"/>
  <c r="W44" i="25" s="1"/>
  <c r="F99" i="23"/>
  <c r="W45" i="25" s="1"/>
  <c r="F100" i="23"/>
  <c r="W46" i="25" s="1"/>
  <c r="F102" i="23"/>
  <c r="L124" i="24" s="1"/>
  <c r="F104" i="23"/>
  <c r="L113" i="24" s="1"/>
  <c r="F106" i="23"/>
  <c r="L115" i="24" s="1"/>
  <c r="F107" i="23"/>
  <c r="L116" i="24" s="1"/>
  <c r="F108" i="23"/>
  <c r="L117" i="24" s="1"/>
  <c r="F109" i="23"/>
  <c r="L118" i="24" s="1"/>
  <c r="F111" i="23"/>
  <c r="L119" i="24" s="1"/>
  <c r="F112" i="23"/>
  <c r="L120" i="24" s="1"/>
  <c r="F113" i="23"/>
  <c r="L121" i="24" s="1"/>
  <c r="F114" i="23"/>
  <c r="L122" i="24" s="1"/>
  <c r="F115" i="23"/>
  <c r="L123" i="24" s="1"/>
  <c r="F120" i="23"/>
  <c r="L84" i="24" s="1"/>
  <c r="F121" i="23"/>
  <c r="L85" i="24" s="1"/>
  <c r="F122" i="23"/>
  <c r="L86" i="24" s="1"/>
  <c r="F123" i="23"/>
  <c r="L87" i="24" s="1"/>
  <c r="F124" i="23"/>
  <c r="L88" i="24" s="1"/>
  <c r="G138" i="23"/>
  <c r="G152" i="23"/>
  <c r="G161" i="23"/>
  <c r="G169" i="23"/>
  <c r="C198" i="23"/>
  <c r="C199" i="23"/>
  <c r="C200" i="23"/>
  <c r="C201" i="23"/>
  <c r="L5" i="22"/>
  <c r="N10" i="25"/>
  <c r="R91" i="24" s="1"/>
  <c r="G57" i="22"/>
  <c r="G58" i="22"/>
  <c r="C69" i="22"/>
  <c r="C70" i="22"/>
  <c r="C71" i="22"/>
  <c r="C72" i="22"/>
  <c r="C73" i="22"/>
  <c r="C74" i="22"/>
  <c r="C75" i="22"/>
  <c r="C76" i="22"/>
  <c r="C77" i="22"/>
  <c r="C78" i="22"/>
  <c r="C98" i="22"/>
  <c r="C99" i="22"/>
  <c r="C100" i="22"/>
  <c r="C101" i="22"/>
  <c r="C102" i="22"/>
  <c r="C103" i="22"/>
  <c r="C104" i="22"/>
  <c r="C105" i="22"/>
  <c r="C106" i="22"/>
  <c r="C107" i="22"/>
  <c r="C108" i="22"/>
  <c r="BE6" i="26" l="1"/>
  <c r="BE9" i="26" s="1"/>
  <c r="BE7" i="26"/>
  <c r="BE8" i="26" s="1"/>
  <c r="I7" i="26"/>
  <c r="I6" i="26"/>
  <c r="I10" i="26" s="1"/>
  <c r="G25" i="24"/>
  <c r="R9" i="26"/>
  <c r="AP9" i="26"/>
  <c r="AP15" i="26" s="1"/>
  <c r="AP16" i="26" s="1"/>
  <c r="AP17" i="26" s="1"/>
  <c r="G9" i="24"/>
  <c r="G8" i="24"/>
  <c r="G35" i="24"/>
  <c r="G14" i="24"/>
  <c r="G33" i="24"/>
  <c r="G32" i="24"/>
  <c r="G15" i="24"/>
  <c r="E22" i="24"/>
  <c r="H22" i="24" s="1"/>
  <c r="E341" i="25"/>
  <c r="D8" i="24"/>
  <c r="E8" i="24" s="1"/>
  <c r="H8" i="24" s="1"/>
  <c r="F204" i="25"/>
  <c r="G36" i="24" s="1"/>
  <c r="D7" i="24"/>
  <c r="E7" i="24" s="1"/>
  <c r="AG6" i="26"/>
  <c r="AG9" i="26" s="1"/>
  <c r="AG15" i="26" s="1"/>
  <c r="AG16" i="26"/>
  <c r="AG17" i="26" s="1"/>
  <c r="U6" i="26"/>
  <c r="U10" i="26" s="1"/>
  <c r="AP7" i="26"/>
  <c r="AP8" i="26" s="1"/>
  <c r="AG10" i="26"/>
  <c r="AG11" i="26" s="1"/>
  <c r="AD7" i="26"/>
  <c r="AD8" i="26" s="1"/>
  <c r="R7" i="26"/>
  <c r="R8" i="26" s="1"/>
  <c r="F7" i="26"/>
  <c r="F8" i="26" s="1"/>
  <c r="AA10" i="26"/>
  <c r="AA11" i="26" s="1"/>
  <c r="I9" i="26"/>
  <c r="I15" i="26" s="1"/>
  <c r="I16" i="26" s="1"/>
  <c r="I17" i="26" s="1"/>
  <c r="C6" i="26"/>
  <c r="C9" i="26" s="1"/>
  <c r="C15" i="26" s="1"/>
  <c r="C16" i="26" s="1"/>
  <c r="C17" i="26" s="1"/>
  <c r="AM10" i="26"/>
  <c r="AM11" i="26" s="1"/>
  <c r="O10" i="26"/>
  <c r="O11" i="26" s="1"/>
  <c r="J323" i="25"/>
  <c r="K323" i="25"/>
  <c r="L323" i="25"/>
  <c r="J315" i="25"/>
  <c r="K315" i="25"/>
  <c r="L315" i="25"/>
  <c r="AM7" i="26"/>
  <c r="AM8" i="26" s="1"/>
  <c r="O7" i="26"/>
  <c r="O8" i="26" s="1"/>
  <c r="K321" i="25"/>
  <c r="L321" i="25"/>
  <c r="J321" i="25"/>
  <c r="K317" i="25"/>
  <c r="L317" i="25"/>
  <c r="J317" i="25"/>
  <c r="AA7" i="26"/>
  <c r="AA8" i="26" s="1"/>
  <c r="K319" i="25"/>
  <c r="J319" i="25"/>
  <c r="L319" i="25"/>
  <c r="L322" i="25"/>
  <c r="J322" i="25"/>
  <c r="K322" i="25"/>
  <c r="J320" i="25"/>
  <c r="K320" i="25"/>
  <c r="L320" i="25"/>
  <c r="L318" i="25"/>
  <c r="J318" i="25"/>
  <c r="K318" i="25"/>
  <c r="J316" i="25"/>
  <c r="K316" i="25"/>
  <c r="L316" i="25"/>
  <c r="L314" i="25"/>
  <c r="K314" i="25"/>
  <c r="J314" i="25"/>
  <c r="AD15" i="26"/>
  <c r="AD16" i="26" s="1"/>
  <c r="AD17" i="26" s="1"/>
  <c r="F15" i="26"/>
  <c r="F16" i="26" s="1"/>
  <c r="F17" i="26" s="1"/>
  <c r="BB6" i="26"/>
  <c r="BB9" i="26" s="1"/>
  <c r="BB7" i="26"/>
  <c r="BB8" i="26" s="1"/>
  <c r="AA15" i="26"/>
  <c r="AA16" i="26" s="1"/>
  <c r="AA17" i="26" s="1"/>
  <c r="R15" i="26"/>
  <c r="BE15" i="26"/>
  <c r="BE16" i="26" s="1"/>
  <c r="BE17" i="26" s="1"/>
  <c r="BH6" i="26"/>
  <c r="BH9" i="26" s="1"/>
  <c r="BH7" i="26"/>
  <c r="BH8" i="26" s="1"/>
  <c r="AV6" i="26"/>
  <c r="AV9" i="26" s="1"/>
  <c r="AV7" i="26"/>
  <c r="AV8" i="26" s="1"/>
  <c r="AM15" i="26"/>
  <c r="AM16" i="26" s="1"/>
  <c r="AM17" i="26" s="1"/>
  <c r="O15" i="26"/>
  <c r="AG8" i="26"/>
  <c r="U8" i="26"/>
  <c r="I8" i="26"/>
  <c r="J293" i="25"/>
  <c r="K293" i="25"/>
  <c r="L293" i="25"/>
  <c r="J289" i="25"/>
  <c r="K289" i="25"/>
  <c r="L289" i="25"/>
  <c r="BE10" i="26"/>
  <c r="BE11" i="26" s="1"/>
  <c r="AP10" i="26"/>
  <c r="AP11" i="26" s="1"/>
  <c r="AD10" i="26"/>
  <c r="AD11" i="26" s="1"/>
  <c r="R10" i="26"/>
  <c r="R11" i="26" s="1"/>
  <c r="F10" i="26"/>
  <c r="F11" i="26" s="1"/>
  <c r="AY8" i="26"/>
  <c r="AJ8" i="26"/>
  <c r="X8" i="26"/>
  <c r="L8" i="26"/>
  <c r="L295" i="25"/>
  <c r="J295" i="25"/>
  <c r="K295" i="25"/>
  <c r="L287" i="25"/>
  <c r="K287" i="25"/>
  <c r="O65" i="24"/>
  <c r="L29" i="24" s="1"/>
  <c r="R16" i="26"/>
  <c r="R17" i="26" s="1"/>
  <c r="AY6" i="26"/>
  <c r="AY9" i="26" s="1"/>
  <c r="AJ6" i="26"/>
  <c r="AJ9" i="26" s="1"/>
  <c r="X6" i="26"/>
  <c r="X9" i="26" s="1"/>
  <c r="L6" i="26"/>
  <c r="L9" i="26" s="1"/>
  <c r="K291" i="25"/>
  <c r="L291" i="25"/>
  <c r="J291" i="25"/>
  <c r="O63" i="24"/>
  <c r="L27" i="24" s="1"/>
  <c r="J296" i="25"/>
  <c r="K296" i="25"/>
  <c r="L296" i="25"/>
  <c r="K294" i="25"/>
  <c r="L294" i="25"/>
  <c r="J294" i="25"/>
  <c r="L292" i="25"/>
  <c r="J292" i="25"/>
  <c r="K292" i="25"/>
  <c r="K290" i="25"/>
  <c r="L290" i="25"/>
  <c r="J290" i="25"/>
  <c r="K288" i="25"/>
  <c r="L288" i="25"/>
  <c r="J288" i="25"/>
  <c r="J287" i="25"/>
  <c r="L9" i="25"/>
  <c r="F88" i="25"/>
  <c r="D223" i="25"/>
  <c r="C230" i="25" s="1"/>
  <c r="B284" i="25"/>
  <c r="B278" i="25"/>
  <c r="B282" i="25"/>
  <c r="B286" i="25"/>
  <c r="B279" i="25"/>
  <c r="B283" i="25"/>
  <c r="B277" i="25"/>
  <c r="B280" i="25"/>
  <c r="B281" i="25"/>
  <c r="B285" i="25"/>
  <c r="B306" i="25"/>
  <c r="B310" i="25"/>
  <c r="B304" i="25"/>
  <c r="B258" i="25"/>
  <c r="B262" i="25"/>
  <c r="B256" i="25"/>
  <c r="B307" i="25"/>
  <c r="B311" i="25"/>
  <c r="B259" i="25"/>
  <c r="B263" i="25"/>
  <c r="B308" i="25"/>
  <c r="B312" i="25"/>
  <c r="B260" i="25"/>
  <c r="B264" i="25"/>
  <c r="B305" i="25"/>
  <c r="B309" i="25"/>
  <c r="B313" i="25"/>
  <c r="B257" i="25"/>
  <c r="B261" i="25"/>
  <c r="B265" i="25"/>
  <c r="B239" i="25"/>
  <c r="D239" i="25" s="1"/>
  <c r="B243" i="25"/>
  <c r="B240" i="25"/>
  <c r="B244" i="25"/>
  <c r="B238" i="25"/>
  <c r="D238" i="25" s="1"/>
  <c r="B241" i="25"/>
  <c r="B242" i="25"/>
  <c r="B246" i="25"/>
  <c r="B247" i="25"/>
  <c r="B245" i="25"/>
  <c r="F112" i="25"/>
  <c r="O14" i="26"/>
  <c r="O64" i="24"/>
  <c r="L28" i="24" s="1"/>
  <c r="R35" i="24"/>
  <c r="R34" i="24" s="1"/>
  <c r="J85" i="25"/>
  <c r="O11" i="24"/>
  <c r="O15" i="24" s="1"/>
  <c r="O19" i="24"/>
  <c r="L11" i="25"/>
  <c r="G55" i="22" s="1"/>
  <c r="I268" i="25"/>
  <c r="H269" i="25"/>
  <c r="J269" i="25"/>
  <c r="J268" i="25"/>
  <c r="H268" i="25"/>
  <c r="I269" i="25"/>
  <c r="O34" i="24"/>
  <c r="AS7" i="26"/>
  <c r="AS8" i="26" s="1"/>
  <c r="AS6" i="26"/>
  <c r="AS9" i="26" s="1"/>
  <c r="O71" i="24"/>
  <c r="R64" i="24"/>
  <c r="L65" i="24" s="1"/>
  <c r="R65" i="24"/>
  <c r="L66" i="24" s="1"/>
  <c r="R63" i="24"/>
  <c r="L64" i="24" s="1"/>
  <c r="R72" i="24"/>
  <c r="Q61" i="25"/>
  <c r="D52" i="24" s="1"/>
  <c r="B215" i="25"/>
  <c r="Q58" i="25"/>
  <c r="D49" i="24" s="1"/>
  <c r="O75" i="24"/>
  <c r="R76" i="24"/>
  <c r="O77" i="24"/>
  <c r="R71" i="24"/>
  <c r="R69" i="24"/>
  <c r="O69" i="24"/>
  <c r="G7" i="24"/>
  <c r="G19" i="24"/>
  <c r="L8" i="25"/>
  <c r="F100" i="25"/>
  <c r="L7" i="25"/>
  <c r="G52" i="22" s="1"/>
  <c r="N7" i="25" s="1"/>
  <c r="G56" i="22"/>
  <c r="R77" i="24"/>
  <c r="R75" i="24"/>
  <c r="O74" i="24"/>
  <c r="O70" i="24"/>
  <c r="G30" i="24"/>
  <c r="G23" i="24"/>
  <c r="H23" i="24" s="1"/>
  <c r="G21" i="24"/>
  <c r="G10" i="24"/>
  <c r="O76" i="24"/>
  <c r="R74" i="24"/>
  <c r="O72" i="24"/>
  <c r="R70" i="24"/>
  <c r="G34" i="24"/>
  <c r="G18" i="24"/>
  <c r="G16" i="24"/>
  <c r="Q60" i="25"/>
  <c r="D51" i="24" s="1"/>
  <c r="B188" i="25"/>
  <c r="B199" i="25"/>
  <c r="B207" i="25"/>
  <c r="Q59" i="25"/>
  <c r="D50" i="24" s="1"/>
  <c r="Q57" i="25"/>
  <c r="D48" i="24" s="1"/>
  <c r="O6" i="24"/>
  <c r="L10" i="24" s="1"/>
  <c r="BE12" i="26" l="1"/>
  <c r="BE13" i="26" s="1"/>
  <c r="H7" i="24"/>
  <c r="AP12" i="26"/>
  <c r="AP13" i="26" s="1"/>
  <c r="AD12" i="26"/>
  <c r="AD13" i="26" s="1"/>
  <c r="F12" i="26"/>
  <c r="F13" i="26" s="1"/>
  <c r="AG12" i="26"/>
  <c r="AG13" i="26" s="1"/>
  <c r="U9" i="26"/>
  <c r="U15" i="26" s="1"/>
  <c r="U16" i="26" s="1"/>
  <c r="U17" i="26" s="1"/>
  <c r="O16" i="26"/>
  <c r="O17" i="26" s="1"/>
  <c r="R12" i="26"/>
  <c r="R13" i="26" s="1"/>
  <c r="AA12" i="26"/>
  <c r="AA13" i="26" s="1"/>
  <c r="I12" i="26"/>
  <c r="C10" i="26"/>
  <c r="I11" i="26"/>
  <c r="AM12" i="26"/>
  <c r="AM13" i="26" s="1"/>
  <c r="O12" i="26"/>
  <c r="O13" i="26" s="1"/>
  <c r="R78" i="24"/>
  <c r="L68" i="24" s="1"/>
  <c r="B231" i="25"/>
  <c r="C233" i="25"/>
  <c r="C234" i="25"/>
  <c r="C225" i="25"/>
  <c r="B234" i="25"/>
  <c r="G53" i="22"/>
  <c r="N8" i="25" s="1"/>
  <c r="G54" i="22"/>
  <c r="N9" i="25" s="1"/>
  <c r="C231" i="25"/>
  <c r="B226" i="25"/>
  <c r="C228" i="25"/>
  <c r="B233" i="25"/>
  <c r="B225" i="25"/>
  <c r="C227" i="25"/>
  <c r="O73" i="24"/>
  <c r="L30" i="24" s="1"/>
  <c r="X15" i="26"/>
  <c r="X16" i="26" s="1"/>
  <c r="X17" i="26" s="1"/>
  <c r="X10" i="26"/>
  <c r="BB10" i="26"/>
  <c r="BB11" i="26" s="1"/>
  <c r="R73" i="24"/>
  <c r="L67" i="24" s="1"/>
  <c r="AY15" i="26"/>
  <c r="AY16" i="26" s="1"/>
  <c r="AY17" i="26" s="1"/>
  <c r="AV15" i="26"/>
  <c r="AV16" i="26" s="1"/>
  <c r="AV17" i="26" s="1"/>
  <c r="BH15" i="26"/>
  <c r="BH16" i="26" s="1"/>
  <c r="BH17" i="26" s="1"/>
  <c r="AV10" i="26"/>
  <c r="AV11" i="26" s="1"/>
  <c r="AJ15" i="26"/>
  <c r="AJ16" i="26" s="1"/>
  <c r="AJ17" i="26" s="1"/>
  <c r="AJ10" i="26"/>
  <c r="B230" i="25"/>
  <c r="B229" i="25"/>
  <c r="B232" i="25"/>
  <c r="C232" i="25"/>
  <c r="B227" i="25"/>
  <c r="C229" i="25"/>
  <c r="B228" i="25"/>
  <c r="C226" i="25"/>
  <c r="O78" i="24"/>
  <c r="L31" i="24" s="1"/>
  <c r="L15" i="26"/>
  <c r="L16" i="26" s="1"/>
  <c r="L17" i="26" s="1"/>
  <c r="AY10" i="26"/>
  <c r="L10" i="26"/>
  <c r="BH10" i="26"/>
  <c r="BH11" i="26" s="1"/>
  <c r="BB15" i="26"/>
  <c r="BB16" i="26" s="1"/>
  <c r="BB17" i="26" s="1"/>
  <c r="J83" i="25"/>
  <c r="D10" i="24"/>
  <c r="D258" i="25"/>
  <c r="D261" i="25"/>
  <c r="E261" i="25"/>
  <c r="D257" i="25"/>
  <c r="E264" i="25"/>
  <c r="D264" i="25"/>
  <c r="D263" i="25"/>
  <c r="E263" i="25"/>
  <c r="D256" i="25"/>
  <c r="E265" i="25"/>
  <c r="D265" i="25"/>
  <c r="E260" i="25"/>
  <c r="D260" i="25"/>
  <c r="D259" i="25"/>
  <c r="E262" i="25"/>
  <c r="D262" i="25"/>
  <c r="D245" i="25"/>
  <c r="E245" i="25"/>
  <c r="E247" i="25"/>
  <c r="D247" i="25"/>
  <c r="E246" i="25"/>
  <c r="D246" i="25"/>
  <c r="D244" i="25"/>
  <c r="E244" i="25"/>
  <c r="E242" i="25"/>
  <c r="D242" i="25"/>
  <c r="D241" i="25"/>
  <c r="E241" i="25"/>
  <c r="E243" i="25"/>
  <c r="D243" i="25"/>
  <c r="E240" i="25"/>
  <c r="D240" i="25"/>
  <c r="O14" i="24"/>
  <c r="L14" i="24" s="1"/>
  <c r="O13" i="24"/>
  <c r="L13" i="24" s="1"/>
  <c r="O12" i="24"/>
  <c r="L12" i="24" s="1"/>
  <c r="AS10" i="26"/>
  <c r="AS11" i="26" s="1"/>
  <c r="AS15" i="26"/>
  <c r="AS16" i="26" s="1"/>
  <c r="AS17" i="26" s="1"/>
  <c r="R5" i="24"/>
  <c r="D9" i="24"/>
  <c r="L15" i="24"/>
  <c r="A167" i="25"/>
  <c r="AV12" i="26" l="1"/>
  <c r="AV13" i="26" s="1"/>
  <c r="U12" i="26"/>
  <c r="I13" i="26"/>
  <c r="U11" i="26"/>
  <c r="U13" i="26" s="1"/>
  <c r="C12" i="26"/>
  <c r="C11" i="26"/>
  <c r="BB12" i="26"/>
  <c r="BB13" i="26" s="1"/>
  <c r="BH12" i="26"/>
  <c r="BH13" i="26" s="1"/>
  <c r="D296" i="25"/>
  <c r="D290" i="25"/>
  <c r="D287" i="25"/>
  <c r="D291" i="25"/>
  <c r="D292" i="25"/>
  <c r="D289" i="25"/>
  <c r="R11" i="24"/>
  <c r="R15" i="24" s="1"/>
  <c r="J86" i="25"/>
  <c r="D333" i="25"/>
  <c r="E333" i="25" s="1"/>
  <c r="D315" i="25"/>
  <c r="D316" i="25"/>
  <c r="D321" i="25"/>
  <c r="D314" i="25"/>
  <c r="R92" i="24"/>
  <c r="R19" i="24"/>
  <c r="D323" i="25"/>
  <c r="D322" i="25"/>
  <c r="D317" i="25"/>
  <c r="D319" i="25"/>
  <c r="D318" i="25"/>
  <c r="D320" i="25"/>
  <c r="D295" i="25"/>
  <c r="D293" i="25"/>
  <c r="D288" i="25"/>
  <c r="G245" i="25"/>
  <c r="G76" i="22" s="1"/>
  <c r="D294" i="25"/>
  <c r="G240" i="25"/>
  <c r="I240" i="25" s="1"/>
  <c r="G241" i="25"/>
  <c r="H241" i="25" s="1"/>
  <c r="G247" i="25"/>
  <c r="G78" i="22" s="1"/>
  <c r="G239" i="25"/>
  <c r="G70" i="22" s="1"/>
  <c r="F278" i="25" s="1"/>
  <c r="G246" i="25"/>
  <c r="J246" i="25" s="1"/>
  <c r="G238" i="25"/>
  <c r="G69" i="22" s="1"/>
  <c r="F277" i="25" s="1"/>
  <c r="B267" i="25"/>
  <c r="O83" i="24" s="1"/>
  <c r="AY11" i="26"/>
  <c r="AY12" i="26"/>
  <c r="AJ11" i="26"/>
  <c r="AJ12" i="26"/>
  <c r="G243" i="25"/>
  <c r="J243" i="25" s="1"/>
  <c r="L11" i="26"/>
  <c r="L12" i="26"/>
  <c r="X11" i="26"/>
  <c r="X12" i="26"/>
  <c r="E10" i="24"/>
  <c r="H10" i="24" s="1"/>
  <c r="D16" i="24"/>
  <c r="D18" i="24"/>
  <c r="E18" i="24" s="1"/>
  <c r="H18" i="24" s="1"/>
  <c r="G244" i="25"/>
  <c r="I244" i="25" s="1"/>
  <c r="G242" i="25"/>
  <c r="I242" i="25" s="1"/>
  <c r="B250" i="25"/>
  <c r="B251" i="25"/>
  <c r="D334" i="25"/>
  <c r="D332" i="25"/>
  <c r="E332" i="25" s="1"/>
  <c r="AS12" i="26"/>
  <c r="AS13" i="26" s="1"/>
  <c r="R6" i="24"/>
  <c r="L47" i="24" s="1"/>
  <c r="R7" i="24"/>
  <c r="L48" i="24" s="1"/>
  <c r="E9" i="24"/>
  <c r="H9" i="24" s="1"/>
  <c r="D12" i="24"/>
  <c r="D14" i="24"/>
  <c r="E20" i="24" s="1"/>
  <c r="H20" i="24" s="1"/>
  <c r="D11" i="24"/>
  <c r="E11" i="24" s="1"/>
  <c r="H11" i="24" s="1"/>
  <c r="L129" i="24"/>
  <c r="C267" i="25"/>
  <c r="E251" i="25"/>
  <c r="R14" i="24" l="1"/>
  <c r="L51" i="24" s="1"/>
  <c r="D36" i="24"/>
  <c r="E36" i="24" s="1"/>
  <c r="H36" i="24" s="1"/>
  <c r="F61" i="22" s="1"/>
  <c r="AJ13" i="26"/>
  <c r="L13" i="26"/>
  <c r="C13" i="26"/>
  <c r="AY13" i="26"/>
  <c r="E239" i="25"/>
  <c r="R12" i="24"/>
  <c r="L49" i="24" s="1"/>
  <c r="R13" i="24"/>
  <c r="L50" i="24" s="1"/>
  <c r="C300" i="25"/>
  <c r="R52" i="24" s="1"/>
  <c r="D337" i="25"/>
  <c r="B249" i="25"/>
  <c r="O44" i="24" s="1"/>
  <c r="C251" i="25"/>
  <c r="D339" i="25"/>
  <c r="C326" i="25"/>
  <c r="L128" i="24"/>
  <c r="D335" i="25"/>
  <c r="C325" i="25"/>
  <c r="L127" i="24"/>
  <c r="D330" i="25"/>
  <c r="E330" i="25" s="1"/>
  <c r="D338" i="25"/>
  <c r="O90" i="24"/>
  <c r="H245" i="25"/>
  <c r="J245" i="25"/>
  <c r="G71" i="22"/>
  <c r="F285" i="25"/>
  <c r="K285" i="25" s="1"/>
  <c r="L8" i="24"/>
  <c r="L7" i="24" s="1"/>
  <c r="L126" i="24"/>
  <c r="D336" i="25"/>
  <c r="D331" i="25"/>
  <c r="E331" i="25" s="1"/>
  <c r="F284" i="25"/>
  <c r="J284" i="25" s="1"/>
  <c r="I245" i="25"/>
  <c r="E238" i="25"/>
  <c r="H247" i="25"/>
  <c r="H246" i="25"/>
  <c r="G73" i="22"/>
  <c r="I241" i="25"/>
  <c r="G74" i="22"/>
  <c r="F286" i="25"/>
  <c r="K286" i="25" s="1"/>
  <c r="I247" i="25"/>
  <c r="J238" i="25"/>
  <c r="H238" i="25"/>
  <c r="J277" i="25" s="1"/>
  <c r="J240" i="25"/>
  <c r="I246" i="25"/>
  <c r="G77" i="22"/>
  <c r="H239" i="25"/>
  <c r="J278" i="25" s="1"/>
  <c r="F280" i="25"/>
  <c r="L280" i="25" s="1"/>
  <c r="G72" i="22"/>
  <c r="D72" i="22"/>
  <c r="C280" i="25" s="1"/>
  <c r="D280" i="25" s="1"/>
  <c r="H244" i="25"/>
  <c r="H243" i="25"/>
  <c r="F279" i="25"/>
  <c r="K279" i="25" s="1"/>
  <c r="J241" i="25"/>
  <c r="I243" i="25"/>
  <c r="D78" i="22"/>
  <c r="C286" i="25" s="1"/>
  <c r="D286" i="25" s="1"/>
  <c r="F282" i="25"/>
  <c r="G282" i="25" s="1"/>
  <c r="H240" i="25"/>
  <c r="J239" i="25"/>
  <c r="E21" i="24"/>
  <c r="H21" i="24" s="1"/>
  <c r="I239" i="25"/>
  <c r="J247" i="25"/>
  <c r="D71" i="22"/>
  <c r="C279" i="25" s="1"/>
  <c r="D279" i="25" s="1"/>
  <c r="D76" i="22"/>
  <c r="C284" i="25" s="1"/>
  <c r="D284" i="25" s="1"/>
  <c r="D70" i="22"/>
  <c r="C278" i="25" s="1"/>
  <c r="D278" i="25" s="1"/>
  <c r="D19" i="24"/>
  <c r="E19" i="24" s="1"/>
  <c r="H19" i="24" s="1"/>
  <c r="D77" i="22"/>
  <c r="C285" i="25" s="1"/>
  <c r="D285" i="25" s="1"/>
  <c r="D74" i="22"/>
  <c r="C282" i="25" s="1"/>
  <c r="D282" i="25" s="1"/>
  <c r="D75" i="22"/>
  <c r="C283" i="25" s="1"/>
  <c r="D283" i="25" s="1"/>
  <c r="X13" i="26"/>
  <c r="I238" i="25"/>
  <c r="H242" i="25"/>
  <c r="J242" i="25"/>
  <c r="D73" i="22"/>
  <c r="C281" i="25" s="1"/>
  <c r="D281" i="25" s="1"/>
  <c r="F283" i="25"/>
  <c r="K283" i="25" s="1"/>
  <c r="F281" i="25"/>
  <c r="K281" i="25" s="1"/>
  <c r="J244" i="25"/>
  <c r="G75" i="22"/>
  <c r="D69" i="22"/>
  <c r="C277" i="25" s="1"/>
  <c r="D277" i="25" s="1"/>
  <c r="D17" i="24"/>
  <c r="E17" i="24" s="1"/>
  <c r="H17" i="24" s="1"/>
  <c r="E16" i="24"/>
  <c r="H16" i="24" s="1"/>
  <c r="K278" i="25"/>
  <c r="L278" i="25"/>
  <c r="L277" i="25"/>
  <c r="K277" i="25"/>
  <c r="G259" i="25"/>
  <c r="G260" i="25"/>
  <c r="G256" i="25"/>
  <c r="E256" i="25" s="1"/>
  <c r="G265" i="25"/>
  <c r="L78" i="22" s="1"/>
  <c r="C313" i="25" s="1"/>
  <c r="D313" i="25" s="1"/>
  <c r="G261" i="25"/>
  <c r="I277" i="25"/>
  <c r="G277" i="25"/>
  <c r="H277" i="25"/>
  <c r="G263" i="25"/>
  <c r="L76" i="22" s="1"/>
  <c r="C311" i="25" s="1"/>
  <c r="D311" i="25" s="1"/>
  <c r="G258" i="25"/>
  <c r="G264" i="25"/>
  <c r="L77" i="22" s="1"/>
  <c r="C312" i="25" s="1"/>
  <c r="D312" i="25" s="1"/>
  <c r="I278" i="25"/>
  <c r="G278" i="25"/>
  <c r="H278" i="25"/>
  <c r="G262" i="25"/>
  <c r="L75" i="22" s="1"/>
  <c r="C310" i="25" s="1"/>
  <c r="D310" i="25" s="1"/>
  <c r="G257" i="25"/>
  <c r="E257" i="25" s="1"/>
  <c r="O52" i="24"/>
  <c r="O43" i="24"/>
  <c r="R43" i="24"/>
  <c r="L52" i="24"/>
  <c r="B167" i="25"/>
  <c r="O89" i="24"/>
  <c r="O82" i="24"/>
  <c r="D15" i="24"/>
  <c r="E15" i="24" s="1"/>
  <c r="H15" i="24" s="1"/>
  <c r="E14" i="24"/>
  <c r="H14" i="24" s="1"/>
  <c r="D13" i="24"/>
  <c r="E13" i="24" s="1"/>
  <c r="H13" i="24" s="1"/>
  <c r="E12" i="24"/>
  <c r="H12" i="24" s="1"/>
  <c r="R82" i="24" l="1"/>
  <c r="R89" i="24"/>
  <c r="L284" i="25"/>
  <c r="L71" i="22"/>
  <c r="C306" i="25" s="1"/>
  <c r="D306" i="25" s="1"/>
  <c r="E258" i="25"/>
  <c r="L72" i="22"/>
  <c r="C307" i="25" s="1"/>
  <c r="D307" i="25" s="1"/>
  <c r="E259" i="25"/>
  <c r="L6" i="24"/>
  <c r="L5" i="24"/>
  <c r="O53" i="24"/>
  <c r="O54" i="24" s="1"/>
  <c r="L22" i="24" s="1"/>
  <c r="D250" i="25"/>
  <c r="D249" i="25"/>
  <c r="H284" i="25"/>
  <c r="G286" i="25"/>
  <c r="I285" i="25"/>
  <c r="J285" i="25"/>
  <c r="H285" i="25"/>
  <c r="G285" i="25"/>
  <c r="L285" i="25"/>
  <c r="O93" i="24"/>
  <c r="L34" i="24" s="1"/>
  <c r="L4" i="24"/>
  <c r="O20" i="24"/>
  <c r="O22" i="24" s="1"/>
  <c r="L17" i="24" s="1"/>
  <c r="R20" i="24"/>
  <c r="R22" i="24" s="1"/>
  <c r="L54" i="24" s="1"/>
  <c r="G284" i="25"/>
  <c r="K284" i="25"/>
  <c r="I284" i="25"/>
  <c r="G283" i="25"/>
  <c r="D251" i="25"/>
  <c r="L282" i="25"/>
  <c r="L286" i="25"/>
  <c r="H279" i="25"/>
  <c r="J279" i="25"/>
  <c r="G280" i="25"/>
  <c r="I286" i="25"/>
  <c r="J280" i="25"/>
  <c r="I280" i="25"/>
  <c r="J286" i="25"/>
  <c r="K280" i="25"/>
  <c r="H280" i="25"/>
  <c r="H286" i="25"/>
  <c r="L281" i="25"/>
  <c r="G279" i="25"/>
  <c r="H282" i="25"/>
  <c r="I282" i="25"/>
  <c r="K282" i="25"/>
  <c r="L283" i="25"/>
  <c r="J282" i="25"/>
  <c r="L279" i="25"/>
  <c r="I279" i="25"/>
  <c r="I283" i="25"/>
  <c r="B300" i="25"/>
  <c r="H283" i="25"/>
  <c r="H281" i="25"/>
  <c r="J281" i="25"/>
  <c r="G281" i="25"/>
  <c r="I281" i="25"/>
  <c r="B299" i="25"/>
  <c r="B298" i="25"/>
  <c r="J283" i="25"/>
  <c r="J259" i="25"/>
  <c r="H259" i="25"/>
  <c r="L70" i="22"/>
  <c r="C305" i="25" s="1"/>
  <c r="D305" i="25" s="1"/>
  <c r="H265" i="25"/>
  <c r="H256" i="25"/>
  <c r="L69" i="22"/>
  <c r="C304" i="25" s="1"/>
  <c r="D304" i="25" s="1"/>
  <c r="L74" i="22"/>
  <c r="C309" i="25" s="1"/>
  <c r="D309" i="25" s="1"/>
  <c r="H260" i="25"/>
  <c r="L73" i="22"/>
  <c r="C308" i="25" s="1"/>
  <c r="D308" i="25" s="1"/>
  <c r="P71" i="22"/>
  <c r="F306" i="25" s="1"/>
  <c r="P77" i="22"/>
  <c r="F312" i="25" s="1"/>
  <c r="I265" i="25"/>
  <c r="P78" i="22"/>
  <c r="F313" i="25" s="1"/>
  <c r="J265" i="25"/>
  <c r="J256" i="25"/>
  <c r="P69" i="22"/>
  <c r="F304" i="25" s="1"/>
  <c r="I256" i="25"/>
  <c r="P70" i="22"/>
  <c r="F305" i="25" s="1"/>
  <c r="P76" i="22"/>
  <c r="F311" i="25" s="1"/>
  <c r="I260" i="25"/>
  <c r="P73" i="22"/>
  <c r="F308" i="25" s="1"/>
  <c r="I308" i="25" s="1"/>
  <c r="J260" i="25"/>
  <c r="P75" i="22"/>
  <c r="F310" i="25" s="1"/>
  <c r="J261" i="25"/>
  <c r="P74" i="22"/>
  <c r="F309" i="25" s="1"/>
  <c r="I309" i="25" s="1"/>
  <c r="H261" i="25"/>
  <c r="I261" i="25"/>
  <c r="I259" i="25"/>
  <c r="P72" i="22"/>
  <c r="F307" i="25" s="1"/>
  <c r="J257" i="25"/>
  <c r="I257" i="25"/>
  <c r="H257" i="25"/>
  <c r="J264" i="25"/>
  <c r="I264" i="25"/>
  <c r="H264" i="25"/>
  <c r="J263" i="25"/>
  <c r="H263" i="25"/>
  <c r="I263" i="25"/>
  <c r="H262" i="25"/>
  <c r="J262" i="25"/>
  <c r="I262" i="25"/>
  <c r="I258" i="25"/>
  <c r="H258" i="25"/>
  <c r="J258" i="25"/>
  <c r="R28" i="24"/>
  <c r="L74" i="24" s="1"/>
  <c r="O28" i="24"/>
  <c r="L37" i="24" s="1"/>
  <c r="R27" i="24"/>
  <c r="L73" i="24" s="1"/>
  <c r="O27" i="24"/>
  <c r="L36" i="24" s="1"/>
  <c r="O29" i="24"/>
  <c r="L38" i="24" s="1"/>
  <c r="R26" i="24"/>
  <c r="L72" i="24" s="1"/>
  <c r="O26" i="24"/>
  <c r="L35" i="24" s="1"/>
  <c r="R29" i="24"/>
  <c r="L75" i="24" s="1"/>
  <c r="O46" i="24"/>
  <c r="L19" i="24" s="1"/>
  <c r="O45" i="24"/>
  <c r="L18" i="24" s="1"/>
  <c r="O48" i="24"/>
  <c r="L21" i="24" s="1"/>
  <c r="O47" i="24"/>
  <c r="L20" i="24" s="1"/>
  <c r="O85" i="24"/>
  <c r="L33" i="24" s="1"/>
  <c r="O84" i="24"/>
  <c r="L32" i="24" s="1"/>
  <c r="O56" i="24" l="1"/>
  <c r="L24" i="24" s="1"/>
  <c r="B326" i="25"/>
  <c r="O57" i="24"/>
  <c r="L25" i="24" s="1"/>
  <c r="L100" i="24" s="1"/>
  <c r="L133" i="24" s="1"/>
  <c r="L137" i="24" s="1"/>
  <c r="O55" i="24"/>
  <c r="L23" i="24" s="1"/>
  <c r="L94" i="24" s="1"/>
  <c r="O33" i="24"/>
  <c r="O37" i="24" s="1"/>
  <c r="L39" i="24" s="1"/>
  <c r="O21" i="24"/>
  <c r="L16" i="24" s="1"/>
  <c r="R21" i="24"/>
  <c r="L53" i="24" s="1"/>
  <c r="R33" i="24"/>
  <c r="L79" i="24" s="1"/>
  <c r="R44" i="24"/>
  <c r="R48" i="24" s="1"/>
  <c r="L58" i="24" s="1"/>
  <c r="J313" i="25"/>
  <c r="E26" i="24"/>
  <c r="E25" i="24"/>
  <c r="E27" i="24"/>
  <c r="E24" i="24"/>
  <c r="R53" i="24"/>
  <c r="R54" i="24" s="1"/>
  <c r="L59" i="24" s="1"/>
  <c r="E28" i="24"/>
  <c r="I313" i="25"/>
  <c r="E29" i="24"/>
  <c r="H308" i="25"/>
  <c r="G313" i="25"/>
  <c r="H309" i="25"/>
  <c r="H313" i="25"/>
  <c r="G308" i="25"/>
  <c r="G309" i="25"/>
  <c r="I307" i="25"/>
  <c r="G307" i="25"/>
  <c r="H307" i="25"/>
  <c r="I304" i="25"/>
  <c r="G304" i="25"/>
  <c r="H304" i="25"/>
  <c r="J308" i="25"/>
  <c r="K308" i="25"/>
  <c r="L308" i="25"/>
  <c r="L310" i="25"/>
  <c r="K310" i="25"/>
  <c r="K312" i="25"/>
  <c r="L312" i="25"/>
  <c r="K305" i="25"/>
  <c r="L305" i="25"/>
  <c r="L304" i="25"/>
  <c r="K304" i="25"/>
  <c r="L306" i="25"/>
  <c r="K306" i="25"/>
  <c r="K309" i="25"/>
  <c r="L309" i="25"/>
  <c r="L313" i="25"/>
  <c r="K313" i="25"/>
  <c r="K311" i="25"/>
  <c r="L311" i="25"/>
  <c r="K307" i="25"/>
  <c r="L307" i="25"/>
  <c r="B325" i="25"/>
  <c r="L42" i="24"/>
  <c r="J307" i="25"/>
  <c r="J304" i="25"/>
  <c r="J309" i="25"/>
  <c r="J312" i="25"/>
  <c r="J311" i="25"/>
  <c r="J310" i="25"/>
  <c r="J306" i="25"/>
  <c r="J305" i="25"/>
  <c r="I312" i="25"/>
  <c r="G312" i="25"/>
  <c r="H312" i="25"/>
  <c r="H310" i="25"/>
  <c r="I310" i="25"/>
  <c r="G310" i="25"/>
  <c r="H306" i="25"/>
  <c r="I306" i="25"/>
  <c r="G306" i="25"/>
  <c r="H305" i="25"/>
  <c r="I305" i="25"/>
  <c r="G305" i="25"/>
  <c r="I311" i="25"/>
  <c r="G311" i="25"/>
  <c r="H311" i="25"/>
  <c r="L89" i="24"/>
  <c r="R83" i="24" l="1"/>
  <c r="R84" i="24" s="1"/>
  <c r="L69" i="24" s="1"/>
  <c r="L77" i="24"/>
  <c r="R37" i="24"/>
  <c r="L76" i="24" s="1"/>
  <c r="L41" i="24"/>
  <c r="L78" i="24"/>
  <c r="L40" i="24"/>
  <c r="R45" i="24"/>
  <c r="L55" i="24" s="1"/>
  <c r="L101" i="24" s="1"/>
  <c r="L95" i="24"/>
  <c r="L132" i="24" s="1"/>
  <c r="L136" i="24" s="1"/>
  <c r="R46" i="24"/>
  <c r="L56" i="24" s="1"/>
  <c r="R47" i="24"/>
  <c r="L57" i="24" s="1"/>
  <c r="R56" i="24"/>
  <c r="L61" i="24" s="1"/>
  <c r="R55" i="24"/>
  <c r="L60" i="24" s="1"/>
  <c r="R57" i="24"/>
  <c r="L62" i="24" s="1"/>
  <c r="R90" i="24"/>
  <c r="R93" i="24" s="1"/>
  <c r="L71" i="24" s="1"/>
  <c r="L131" i="24"/>
  <c r="L135" i="24" s="1"/>
  <c r="P4" i="22" s="1"/>
  <c r="L130" i="24"/>
  <c r="L134" i="24" s="1"/>
  <c r="P3" i="22" l="1"/>
  <c r="R85" i="24"/>
  <c r="L70" i="24" s="1"/>
  <c r="L112" i="24" s="1"/>
  <c r="L81" i="24"/>
  <c r="L103" i="24" s="1"/>
  <c r="L43" i="24"/>
  <c r="L90" i="24" s="1"/>
  <c r="L45" i="24"/>
  <c r="L92" i="24" s="1"/>
  <c r="L44" i="24"/>
  <c r="L97" i="24" s="1"/>
  <c r="L82" i="24"/>
  <c r="L104" i="24" s="1"/>
  <c r="L138" i="24"/>
  <c r="L80" i="24"/>
  <c r="L102" i="24" s="1"/>
  <c r="L106" i="24"/>
  <c r="L143" i="24"/>
  <c r="L144" i="24"/>
  <c r="L107" i="24"/>
  <c r="P7" i="22" l="1"/>
  <c r="P5" i="22" s="1"/>
  <c r="L149" i="24"/>
  <c r="P8" i="22" s="1"/>
  <c r="P6" i="22" s="1"/>
  <c r="L140" i="24"/>
  <c r="L96" i="24"/>
  <c r="L98" i="24"/>
  <c r="L91" i="24"/>
  <c r="L46" i="24"/>
  <c r="L93" i="24" s="1"/>
  <c r="L141" i="24"/>
  <c r="L147" i="24"/>
  <c r="L139" i="24"/>
  <c r="L83" i="24"/>
  <c r="L142" i="24" s="1"/>
  <c r="L108" i="24"/>
  <c r="L146" i="24"/>
  <c r="L145" i="24"/>
  <c r="L110" i="24"/>
  <c r="L109" i="24"/>
  <c r="L111" i="24" l="1"/>
  <c r="L99" i="24"/>
  <c r="L105" i="24"/>
  <c r="L148" i="24"/>
  <c r="H26" i="24"/>
  <c r="E31" i="24"/>
  <c r="H31" i="24" s="1"/>
  <c r="E35" i="24"/>
  <c r="H35" i="24" s="1"/>
  <c r="L151" i="24" l="1"/>
  <c r="H27" i="24"/>
  <c r="E32" i="24"/>
  <c r="H32" i="24" s="1"/>
  <c r="H24" i="24"/>
  <c r="E34" i="24"/>
  <c r="H34" i="24" s="1"/>
  <c r="H29" i="24"/>
  <c r="E33" i="24"/>
  <c r="H33" i="24" s="1"/>
  <c r="H25" i="24"/>
  <c r="E30" i="24"/>
  <c r="H30" i="24" s="1"/>
  <c r="H28" i="24"/>
  <c r="C44" i="24" l="1"/>
  <c r="E48" i="24" s="1"/>
  <c r="C45" i="24"/>
  <c r="E50" i="24" l="1"/>
  <c r="E49" i="24"/>
  <c r="E51" i="24"/>
  <c r="E52" i="24"/>
  <c r="F48" i="24"/>
  <c r="F49" i="24"/>
  <c r="F51" i="24"/>
  <c r="F50" i="24"/>
  <c r="F52" i="24"/>
  <c r="G9" i="22"/>
  <c r="G10" i="22" s="1"/>
  <c r="C54" i="24" l="1"/>
  <c r="C57" i="24" s="1"/>
  <c r="C55" i="24"/>
  <c r="C58" i="24" s="1"/>
  <c r="D96" i="13"/>
  <c r="D95" i="13"/>
  <c r="D94" i="13"/>
  <c r="D93" i="13"/>
  <c r="D92" i="13"/>
  <c r="D91" i="13"/>
  <c r="D90" i="13"/>
  <c r="D89" i="13"/>
  <c r="G5" i="22" l="1"/>
  <c r="K5" i="22" s="1"/>
  <c r="H91" i="13"/>
  <c r="H90" i="13"/>
  <c r="L9" i="22" l="1"/>
  <c r="L10" i="22"/>
  <c r="D88" i="4"/>
  <c r="D89" i="4"/>
  <c r="D90" i="4"/>
  <c r="D91" i="4"/>
  <c r="D92" i="4"/>
  <c r="D93" i="4"/>
  <c r="D94" i="4"/>
  <c r="D96" i="4"/>
  <c r="D95" i="4"/>
  <c r="H91" i="4"/>
  <c r="H90" i="4"/>
  <c r="C7" i="3"/>
  <c r="C6" i="3"/>
  <c r="B183" i="4"/>
  <c r="B184" i="4"/>
  <c r="B185" i="4"/>
  <c r="R62" i="3" s="1"/>
  <c r="B186" i="4"/>
  <c r="B182" i="4"/>
  <c r="E184" i="4" s="1"/>
  <c r="F36" i="1"/>
  <c r="C65" i="1"/>
  <c r="E182" i="4" l="1"/>
  <c r="E183" i="4" s="1"/>
  <c r="R61" i="3"/>
  <c r="R63" i="3" s="1"/>
  <c r="L14" i="3" s="1"/>
  <c r="A162" i="13"/>
  <c r="D148" i="13"/>
  <c r="D146" i="13"/>
  <c r="D144" i="13"/>
  <c r="D142" i="13"/>
  <c r="B148" i="13"/>
  <c r="B146" i="13"/>
  <c r="B144" i="13"/>
  <c r="B142" i="13"/>
  <c r="D80" i="13"/>
  <c r="L8" i="13"/>
  <c r="F31" i="10" s="1"/>
  <c r="F32" i="10"/>
  <c r="G92" i="13"/>
  <c r="I92" i="13" s="1"/>
  <c r="B162" i="13" s="1"/>
  <c r="D88" i="13"/>
  <c r="A162" i="4"/>
  <c r="G92" i="4"/>
  <c r="I92" i="4" s="1"/>
  <c r="D146" i="4"/>
  <c r="D144" i="4"/>
  <c r="D142" i="4"/>
  <c r="B148" i="4"/>
  <c r="B146" i="4"/>
  <c r="B144" i="4"/>
  <c r="B142" i="4"/>
  <c r="E97" i="4"/>
  <c r="B162" i="4" l="1"/>
  <c r="F31" i="1"/>
  <c r="R15" i="3"/>
  <c r="O15" i="12"/>
  <c r="C66" i="10"/>
  <c r="R15" i="12"/>
  <c r="O13" i="3"/>
  <c r="O15" i="3"/>
  <c r="C66" i="1"/>
  <c r="D86" i="13"/>
  <c r="D85" i="13"/>
  <c r="D84" i="13"/>
  <c r="D83" i="13"/>
  <c r="D82" i="13"/>
  <c r="D81" i="13"/>
  <c r="E87" i="13"/>
  <c r="D134" i="4"/>
  <c r="D132" i="4"/>
  <c r="D130" i="4"/>
  <c r="B134" i="4"/>
  <c r="B132" i="4"/>
  <c r="B130" i="4"/>
  <c r="E87" i="4"/>
  <c r="J64" i="3"/>
  <c r="J58" i="3"/>
  <c r="J52" i="3"/>
  <c r="L7" i="13" l="1"/>
  <c r="F30" i="10" s="1"/>
  <c r="C61" i="10" l="1"/>
  <c r="C61" i="1"/>
  <c r="C2" i="14" l="1"/>
  <c r="F2" i="14"/>
  <c r="I2" i="14"/>
  <c r="L2" i="14"/>
  <c r="O2" i="14"/>
  <c r="O5" i="14" s="1"/>
  <c r="R2" i="14"/>
  <c r="R5" i="14" s="1"/>
  <c r="U2" i="14"/>
  <c r="U5" i="14" s="1"/>
  <c r="X2" i="14"/>
  <c r="X5" i="14" s="1"/>
  <c r="AA2" i="14"/>
  <c r="AA5" i="14" s="1"/>
  <c r="AD2" i="14"/>
  <c r="AD5" i="14" s="1"/>
  <c r="AG2" i="14"/>
  <c r="AG5" i="14" s="1"/>
  <c r="AJ2" i="14"/>
  <c r="AJ5" i="14" s="1"/>
  <c r="AJ6" i="14" s="1"/>
  <c r="AJ9" i="14" s="1"/>
  <c r="AM2" i="14"/>
  <c r="AM5" i="14" s="1"/>
  <c r="AP2" i="14"/>
  <c r="AP5" i="14" s="1"/>
  <c r="AS2" i="14"/>
  <c r="AS5" i="14" s="1"/>
  <c r="AV2" i="14"/>
  <c r="AV5" i="14" s="1"/>
  <c r="AY2" i="14"/>
  <c r="AY5" i="14" s="1"/>
  <c r="BB2" i="14"/>
  <c r="BB5" i="14" s="1"/>
  <c r="BE2" i="14"/>
  <c r="BE5" i="14" s="1"/>
  <c r="BH2" i="14"/>
  <c r="BH5" i="14" s="1"/>
  <c r="BH6" i="14" s="1"/>
  <c r="BH9" i="14" s="1"/>
  <c r="C3" i="14"/>
  <c r="F3" i="14"/>
  <c r="F14" i="14" s="1"/>
  <c r="I3" i="14"/>
  <c r="L3" i="14"/>
  <c r="L14" i="14" s="1"/>
  <c r="O3" i="14"/>
  <c r="R3" i="14"/>
  <c r="R14" i="14" s="1"/>
  <c r="U3" i="14"/>
  <c r="U14" i="14" s="1"/>
  <c r="X3" i="14"/>
  <c r="X14" i="14" s="1"/>
  <c r="AA3" i="14"/>
  <c r="AA14" i="14" s="1"/>
  <c r="AD3" i="14"/>
  <c r="AD14" i="14" s="1"/>
  <c r="AG3" i="14"/>
  <c r="AG14" i="14" s="1"/>
  <c r="AJ3" i="14"/>
  <c r="AJ14" i="14" s="1"/>
  <c r="AM3" i="14"/>
  <c r="AP3" i="14"/>
  <c r="AS3" i="14"/>
  <c r="AV3" i="14"/>
  <c r="AY3" i="14"/>
  <c r="BB3" i="14"/>
  <c r="BE3" i="14"/>
  <c r="BH3" i="14"/>
  <c r="BH14" i="14" s="1"/>
  <c r="C4" i="14"/>
  <c r="F4" i="14"/>
  <c r="I4" i="14"/>
  <c r="L4" i="14"/>
  <c r="O4" i="14"/>
  <c r="R4" i="14"/>
  <c r="U4" i="14"/>
  <c r="X4" i="14"/>
  <c r="AA4" i="14"/>
  <c r="AD4" i="14"/>
  <c r="AG4" i="14"/>
  <c r="AJ4" i="14"/>
  <c r="AM4" i="14"/>
  <c r="AP4" i="14"/>
  <c r="AS4" i="14"/>
  <c r="AV4" i="14"/>
  <c r="AY4" i="14"/>
  <c r="BB4" i="14"/>
  <c r="BE4" i="14"/>
  <c r="BH4" i="14"/>
  <c r="C5" i="14"/>
  <c r="C6" i="14" s="1"/>
  <c r="C9" i="14" s="1"/>
  <c r="F5" i="14"/>
  <c r="F6" i="14" s="1"/>
  <c r="F9" i="14" s="1"/>
  <c r="I5" i="14"/>
  <c r="I6" i="14" s="1"/>
  <c r="I9" i="14" s="1"/>
  <c r="L5" i="14"/>
  <c r="L6" i="14" s="1"/>
  <c r="L9" i="14" s="1"/>
  <c r="F7" i="14"/>
  <c r="I7" i="14"/>
  <c r="C14" i="14"/>
  <c r="I14" i="14"/>
  <c r="O14" i="14"/>
  <c r="AM14" i="14"/>
  <c r="AP14" i="14"/>
  <c r="AS14" i="14"/>
  <c r="AV14" i="14"/>
  <c r="AY14" i="14"/>
  <c r="BB14" i="14"/>
  <c r="BE14" i="14"/>
  <c r="D22" i="12"/>
  <c r="E22" i="12" s="1"/>
  <c r="N11" i="13"/>
  <c r="R45" i="12" s="1"/>
  <c r="R46" i="12" s="1"/>
  <c r="L20" i="12" s="1"/>
  <c r="D23" i="12"/>
  <c r="E23" i="12" s="1"/>
  <c r="N12" i="13"/>
  <c r="E15" i="12" s="1"/>
  <c r="D24" i="12"/>
  <c r="E24" i="12" s="1"/>
  <c r="N13" i="13"/>
  <c r="D25" i="12"/>
  <c r="E25" i="12" s="1"/>
  <c r="D26" i="12"/>
  <c r="E26" i="12" s="1"/>
  <c r="D5" i="12"/>
  <c r="E97" i="13"/>
  <c r="D99" i="13"/>
  <c r="L9" i="13" s="1"/>
  <c r="D100" i="13"/>
  <c r="D101" i="13"/>
  <c r="D102" i="13"/>
  <c r="E103" i="13"/>
  <c r="D105" i="13"/>
  <c r="D106" i="13"/>
  <c r="D107" i="13"/>
  <c r="E108" i="13"/>
  <c r="O40" i="12" s="1"/>
  <c r="O41" i="12" s="1"/>
  <c r="L11" i="12" s="1"/>
  <c r="C109" i="13"/>
  <c r="C110" i="13"/>
  <c r="B129" i="13"/>
  <c r="C129" i="13"/>
  <c r="D129" i="13"/>
  <c r="B131" i="13"/>
  <c r="C131" i="13"/>
  <c r="D131" i="13"/>
  <c r="B133" i="13"/>
  <c r="C133" i="13"/>
  <c r="C134" i="13" s="1"/>
  <c r="D133" i="13"/>
  <c r="D134" i="13" s="1"/>
  <c r="B135" i="13"/>
  <c r="C141" i="13"/>
  <c r="C143" i="13"/>
  <c r="C145" i="13"/>
  <c r="C146" i="13" s="1"/>
  <c r="C149" i="13"/>
  <c r="C148" i="13" s="1"/>
  <c r="F5" i="12"/>
  <c r="L5" i="12"/>
  <c r="F6" i="12"/>
  <c r="L6" i="12"/>
  <c r="O6" i="12"/>
  <c r="R6" i="12"/>
  <c r="F9" i="12"/>
  <c r="F10" i="12"/>
  <c r="O14" i="12"/>
  <c r="R14" i="12"/>
  <c r="F18" i="12"/>
  <c r="F19" i="12"/>
  <c r="F20" i="12"/>
  <c r="F21" i="12"/>
  <c r="N21" i="12"/>
  <c r="F22" i="12"/>
  <c r="F23" i="12"/>
  <c r="O23" i="12"/>
  <c r="R23" i="12"/>
  <c r="U23" i="12"/>
  <c r="X23" i="12"/>
  <c r="AA23" i="12"/>
  <c r="AD23" i="12"/>
  <c r="AG23" i="12"/>
  <c r="AJ23" i="12"/>
  <c r="AM23" i="12"/>
  <c r="AP23" i="12"/>
  <c r="AS23" i="12"/>
  <c r="AV23" i="12"/>
  <c r="AY23" i="12"/>
  <c r="BB23" i="12"/>
  <c r="BE23" i="12"/>
  <c r="BH23" i="12"/>
  <c r="BK23" i="12"/>
  <c r="BN23" i="12"/>
  <c r="BQ23" i="12"/>
  <c r="BT23" i="12"/>
  <c r="F24" i="12"/>
  <c r="O24" i="12"/>
  <c r="R24" i="12"/>
  <c r="U24" i="12"/>
  <c r="X24" i="12"/>
  <c r="AA24" i="12"/>
  <c r="AD24" i="12"/>
  <c r="AG24" i="12"/>
  <c r="AJ24" i="12"/>
  <c r="AM24" i="12"/>
  <c r="AM36" i="12" s="1"/>
  <c r="AP24" i="12"/>
  <c r="AP36" i="12" s="1"/>
  <c r="AS24" i="12"/>
  <c r="AV24" i="12"/>
  <c r="AV36" i="12" s="1"/>
  <c r="AY24" i="12"/>
  <c r="AY36" i="12" s="1"/>
  <c r="BB24" i="12"/>
  <c r="BB36" i="12" s="1"/>
  <c r="BE24" i="12"/>
  <c r="BE36" i="12" s="1"/>
  <c r="BH24" i="12"/>
  <c r="BH36" i="12" s="1"/>
  <c r="BK24" i="12"/>
  <c r="BK36" i="12" s="1"/>
  <c r="BN24" i="12"/>
  <c r="BN36" i="12" s="1"/>
  <c r="BQ24" i="12"/>
  <c r="BQ36" i="12" s="1"/>
  <c r="BT24" i="12"/>
  <c r="BT36" i="12" s="1"/>
  <c r="F25" i="12"/>
  <c r="O25" i="12"/>
  <c r="R25" i="12"/>
  <c r="U25" i="12"/>
  <c r="X25" i="12"/>
  <c r="AA25" i="12"/>
  <c r="AD25" i="12"/>
  <c r="AG25" i="12"/>
  <c r="AJ25" i="12"/>
  <c r="AM25" i="12"/>
  <c r="AP25" i="12"/>
  <c r="AS25" i="12"/>
  <c r="AV25" i="12"/>
  <c r="AY25" i="12"/>
  <c r="BB25" i="12"/>
  <c r="BE25" i="12"/>
  <c r="BH25" i="12"/>
  <c r="BK25" i="12"/>
  <c r="BN25" i="12"/>
  <c r="BQ25" i="12"/>
  <c r="BT25" i="12"/>
  <c r="F26" i="12"/>
  <c r="O26" i="12"/>
  <c r="R26" i="12"/>
  <c r="U26" i="12"/>
  <c r="X26" i="12"/>
  <c r="AA26" i="12"/>
  <c r="AD26" i="12"/>
  <c r="AG26" i="12"/>
  <c r="AJ26" i="12"/>
  <c r="AM26" i="12"/>
  <c r="AP26" i="12"/>
  <c r="AS26" i="12"/>
  <c r="AV26" i="12"/>
  <c r="AY26" i="12"/>
  <c r="BB26" i="12"/>
  <c r="BE26" i="12"/>
  <c r="BH26" i="12"/>
  <c r="BK26" i="12"/>
  <c r="BN26" i="12"/>
  <c r="BQ26" i="12"/>
  <c r="BT26" i="12"/>
  <c r="F27" i="12"/>
  <c r="O32" i="12"/>
  <c r="R32" i="12"/>
  <c r="U32" i="12"/>
  <c r="X32" i="12"/>
  <c r="AA32" i="12"/>
  <c r="AD32" i="12"/>
  <c r="AG32" i="12"/>
  <c r="AJ32" i="12"/>
  <c r="AM32" i="12"/>
  <c r="AP32" i="12"/>
  <c r="AS32" i="12"/>
  <c r="AV32" i="12"/>
  <c r="AY32" i="12"/>
  <c r="BB32" i="12"/>
  <c r="BE32" i="12"/>
  <c r="BH32" i="12"/>
  <c r="BK32" i="12"/>
  <c r="BN32" i="12"/>
  <c r="BQ32" i="12"/>
  <c r="BT32" i="12"/>
  <c r="D37" i="12"/>
  <c r="O45" i="12"/>
  <c r="O46" i="12" s="1"/>
  <c r="L12" i="12" s="1"/>
  <c r="O50" i="12"/>
  <c r="C100" i="12"/>
  <c r="C101" i="12"/>
  <c r="C102" i="12"/>
  <c r="F5" i="11"/>
  <c r="D11" i="13" s="1"/>
  <c r="F6" i="11"/>
  <c r="F7" i="11"/>
  <c r="F9" i="11"/>
  <c r="F10" i="11"/>
  <c r="F12" i="11"/>
  <c r="F13" i="11"/>
  <c r="F15" i="11"/>
  <c r="F16" i="11"/>
  <c r="F18" i="11"/>
  <c r="F23" i="11"/>
  <c r="G7" i="12" s="1"/>
  <c r="F25" i="11"/>
  <c r="G4" i="12" s="1"/>
  <c r="F27" i="11"/>
  <c r="F29" i="11"/>
  <c r="F31" i="11"/>
  <c r="G12" i="12" s="1"/>
  <c r="F33" i="11"/>
  <c r="G13" i="12" s="1"/>
  <c r="F35" i="11"/>
  <c r="G28" i="12" s="1"/>
  <c r="F37" i="11"/>
  <c r="G14" i="12" s="1"/>
  <c r="F39" i="11"/>
  <c r="G15" i="12" s="1"/>
  <c r="F41" i="11"/>
  <c r="G16" i="12" s="1"/>
  <c r="F43" i="11"/>
  <c r="G17" i="12" s="1"/>
  <c r="F45" i="11"/>
  <c r="D34" i="12" s="1"/>
  <c r="F46" i="11"/>
  <c r="D35" i="12" s="1"/>
  <c r="F47" i="11"/>
  <c r="D36" i="12" s="1"/>
  <c r="F48" i="11"/>
  <c r="F50" i="11"/>
  <c r="L51" i="12" s="1"/>
  <c r="F52" i="11"/>
  <c r="F55" i="11"/>
  <c r="L43" i="12" s="1"/>
  <c r="F56" i="11"/>
  <c r="L44" i="12" s="1"/>
  <c r="F57" i="11"/>
  <c r="L45" i="12" s="1"/>
  <c r="F59" i="11"/>
  <c r="L46" i="12" s="1"/>
  <c r="F60" i="11"/>
  <c r="L47" i="12" s="1"/>
  <c r="F61" i="11"/>
  <c r="L48" i="12" s="1"/>
  <c r="F62" i="11"/>
  <c r="L49" i="12" s="1"/>
  <c r="F63" i="11"/>
  <c r="L50" i="12" s="1"/>
  <c r="F68" i="11"/>
  <c r="I68" i="11"/>
  <c r="F69" i="11"/>
  <c r="I69" i="11"/>
  <c r="F71" i="11"/>
  <c r="F72" i="11"/>
  <c r="I76" i="11"/>
  <c r="I77" i="11"/>
  <c r="D87" i="11"/>
  <c r="E87" i="11"/>
  <c r="D101" i="11"/>
  <c r="E101" i="11"/>
  <c r="D110" i="11"/>
  <c r="E110" i="11"/>
  <c r="G110" i="11"/>
  <c r="D118" i="11"/>
  <c r="E118" i="11"/>
  <c r="G118" i="11"/>
  <c r="C147" i="11"/>
  <c r="C148" i="11"/>
  <c r="C149" i="11"/>
  <c r="C150" i="11"/>
  <c r="L5" i="10"/>
  <c r="F34" i="10"/>
  <c r="F35" i="10"/>
  <c r="F36" i="10"/>
  <c r="C58" i="10"/>
  <c r="C59" i="10"/>
  <c r="C60" i="10"/>
  <c r="F114" i="11" l="1"/>
  <c r="F115" i="11"/>
  <c r="F113" i="11"/>
  <c r="F116" i="11"/>
  <c r="F117" i="11"/>
  <c r="F108" i="11"/>
  <c r="L38" i="12" s="1"/>
  <c r="F109" i="11"/>
  <c r="L39" i="12" s="1"/>
  <c r="F105" i="11"/>
  <c r="L35" i="12" s="1"/>
  <c r="F106" i="11"/>
  <c r="L36" i="12" s="1"/>
  <c r="F107" i="11"/>
  <c r="L37" i="12" s="1"/>
  <c r="G101" i="11"/>
  <c r="F96" i="11"/>
  <c r="F92" i="11"/>
  <c r="F97" i="11"/>
  <c r="F100" i="11"/>
  <c r="F98" i="11"/>
  <c r="F91" i="11"/>
  <c r="F99" i="11"/>
  <c r="F94" i="11"/>
  <c r="F93" i="11"/>
  <c r="F95" i="11"/>
  <c r="F90" i="11"/>
  <c r="G87" i="11"/>
  <c r="F79" i="11"/>
  <c r="L27" i="12" s="1"/>
  <c r="F76" i="11"/>
  <c r="L24" i="12" s="1"/>
  <c r="F80" i="11"/>
  <c r="L28" i="12" s="1"/>
  <c r="R51" i="12" s="1"/>
  <c r="F81" i="11"/>
  <c r="L29" i="12" s="1"/>
  <c r="F82" i="11"/>
  <c r="L30" i="12" s="1"/>
  <c r="F83" i="11"/>
  <c r="L31" i="12" s="1"/>
  <c r="F78" i="11"/>
  <c r="L26" i="12" s="1"/>
  <c r="F84" i="11"/>
  <c r="L32" i="12" s="1"/>
  <c r="F77" i="11"/>
  <c r="F85" i="11"/>
  <c r="L33" i="12" s="1"/>
  <c r="F86" i="11"/>
  <c r="L34" i="12" s="1"/>
  <c r="BE7" i="14"/>
  <c r="BE8" i="14" s="1"/>
  <c r="BE6" i="14"/>
  <c r="BE9" i="14" s="1"/>
  <c r="BE15" i="14" s="1"/>
  <c r="BE16" i="14" s="1"/>
  <c r="BE17" i="14" s="1"/>
  <c r="F15" i="14"/>
  <c r="AY7" i="14"/>
  <c r="AY8" i="14" s="1"/>
  <c r="AY6" i="14"/>
  <c r="AY9" i="14" s="1"/>
  <c r="AY15" i="14" s="1"/>
  <c r="AS7" i="14"/>
  <c r="AS8" i="14"/>
  <c r="AS6" i="14"/>
  <c r="AS9" i="14" s="1"/>
  <c r="BB10" i="14"/>
  <c r="BB11" i="14" s="1"/>
  <c r="AG10" i="14"/>
  <c r="AG11" i="14" s="1"/>
  <c r="AY10" i="14"/>
  <c r="AY11" i="14" s="1"/>
  <c r="AY16" i="14"/>
  <c r="AY17" i="14" s="1"/>
  <c r="AP10" i="14"/>
  <c r="AP11" i="14" s="1"/>
  <c r="AM6" i="14"/>
  <c r="AM9" i="14" s="1"/>
  <c r="AM7" i="14"/>
  <c r="AM8" i="14"/>
  <c r="AY30" i="12" s="1"/>
  <c r="BE10" i="14"/>
  <c r="BE11" i="14" s="1"/>
  <c r="AD10" i="14"/>
  <c r="AD11" i="14" s="1"/>
  <c r="R7" i="14"/>
  <c r="R8" i="14" s="1"/>
  <c r="R6" i="14"/>
  <c r="R9" i="14" s="1"/>
  <c r="I15" i="14"/>
  <c r="I16" i="14" s="1"/>
  <c r="I17" i="14" s="1"/>
  <c r="U30" i="12" s="1"/>
  <c r="BB7" i="14"/>
  <c r="BB8" i="14" s="1"/>
  <c r="BB6" i="14"/>
  <c r="BB9" i="14" s="1"/>
  <c r="BB15" i="14" s="1"/>
  <c r="BB16" i="14" s="1"/>
  <c r="BB17" i="14" s="1"/>
  <c r="AP6" i="14"/>
  <c r="AP9" i="14" s="1"/>
  <c r="AP15" i="14" s="1"/>
  <c r="AP16" i="14" s="1"/>
  <c r="AP17" i="14" s="1"/>
  <c r="AP7" i="14"/>
  <c r="AP8" i="14"/>
  <c r="AG7" i="14"/>
  <c r="AG8" i="14"/>
  <c r="AS30" i="12" s="1"/>
  <c r="AS34" i="12" s="1"/>
  <c r="AS36" i="12" s="1"/>
  <c r="AG6" i="14"/>
  <c r="AG9" i="14" s="1"/>
  <c r="AA7" i="14"/>
  <c r="AA8" i="14"/>
  <c r="AA6" i="14"/>
  <c r="AA9" i="14" s="1"/>
  <c r="O7" i="14"/>
  <c r="O6" i="14"/>
  <c r="O9" i="14" s="1"/>
  <c r="O8" i="14"/>
  <c r="I12" i="14"/>
  <c r="C15" i="14"/>
  <c r="AA10" i="14"/>
  <c r="AA11" i="14" s="1"/>
  <c r="AD7" i="14"/>
  <c r="AD6" i="14"/>
  <c r="AD9" i="14" s="1"/>
  <c r="U7" i="14"/>
  <c r="U8" i="14"/>
  <c r="AG30" i="12" s="1"/>
  <c r="AG34" i="12" s="1"/>
  <c r="AG36" i="12" s="1"/>
  <c r="U6" i="14"/>
  <c r="U9" i="14" s="1"/>
  <c r="C7" i="14"/>
  <c r="C8" i="14" s="1"/>
  <c r="I8" i="14"/>
  <c r="I13" i="14" s="1"/>
  <c r="I10" i="14"/>
  <c r="I11" i="14" s="1"/>
  <c r="F10" i="14"/>
  <c r="F11" i="14" s="1"/>
  <c r="C10" i="14"/>
  <c r="C11" i="14" s="1"/>
  <c r="F8" i="14"/>
  <c r="L7" i="14"/>
  <c r="AJ15" i="14"/>
  <c r="AV7" i="14"/>
  <c r="AV8" i="14" s="1"/>
  <c r="BH30" i="12" s="1"/>
  <c r="BH34" i="12" s="1"/>
  <c r="AV6" i="14"/>
  <c r="AV9" i="14" s="1"/>
  <c r="BH15" i="14"/>
  <c r="BH16" i="14" s="1"/>
  <c r="BH17" i="14" s="1"/>
  <c r="BB12" i="14"/>
  <c r="BB13" i="14" s="1"/>
  <c r="AJ16" i="14"/>
  <c r="AJ17" i="14" s="1"/>
  <c r="AY12" i="14"/>
  <c r="AY13" i="14" s="1"/>
  <c r="X6" i="14"/>
  <c r="X9" i="14" s="1"/>
  <c r="X7" i="14"/>
  <c r="X8" i="14" s="1"/>
  <c r="AJ30" i="12" s="1"/>
  <c r="AJ34" i="12" s="1"/>
  <c r="AJ36" i="12" s="1"/>
  <c r="L15" i="14"/>
  <c r="BH7" i="14"/>
  <c r="BH8" i="14" s="1"/>
  <c r="AJ7" i="14"/>
  <c r="BH10" i="14"/>
  <c r="BH11" i="14" s="1"/>
  <c r="AJ10" i="14"/>
  <c r="AJ11" i="14" s="1"/>
  <c r="L10" i="14"/>
  <c r="L11" i="14" s="1"/>
  <c r="AJ8" i="14"/>
  <c r="AV30" i="12" s="1"/>
  <c r="AV34" i="12" s="1"/>
  <c r="L8" i="14"/>
  <c r="L10" i="13"/>
  <c r="F33" i="10" s="1"/>
  <c r="N10" i="13" s="1"/>
  <c r="G23" i="12"/>
  <c r="O13" i="12"/>
  <c r="O16" i="12" s="1"/>
  <c r="C22" i="13"/>
  <c r="D132" i="13"/>
  <c r="BQ30" i="12"/>
  <c r="BQ34" i="12" s="1"/>
  <c r="BE30" i="12"/>
  <c r="BE34" i="12" s="1"/>
  <c r="BN30" i="12"/>
  <c r="BN34" i="12" s="1"/>
  <c r="BB30" i="12"/>
  <c r="D27" i="12"/>
  <c r="E27" i="12" s="1"/>
  <c r="BB34" i="12"/>
  <c r="BK30" i="12"/>
  <c r="AM30" i="12"/>
  <c r="F108" i="13"/>
  <c r="C142" i="13"/>
  <c r="B134" i="13"/>
  <c r="D130" i="13"/>
  <c r="N9" i="13"/>
  <c r="C144" i="13"/>
  <c r="C130" i="13"/>
  <c r="C132" i="13"/>
  <c r="B130" i="13"/>
  <c r="B132" i="13"/>
  <c r="L23" i="12"/>
  <c r="G11" i="12"/>
  <c r="E17" i="12"/>
  <c r="H17" i="12" s="1"/>
  <c r="L40" i="12"/>
  <c r="L41" i="12"/>
  <c r="L42" i="12"/>
  <c r="R50" i="12"/>
  <c r="N8" i="13"/>
  <c r="R13" i="12" s="1"/>
  <c r="H15" i="12"/>
  <c r="L4" i="12"/>
  <c r="G26" i="12"/>
  <c r="H26" i="12" s="1"/>
  <c r="G24" i="12"/>
  <c r="H24" i="12" s="1"/>
  <c r="G22" i="12"/>
  <c r="H22" i="12" s="1"/>
  <c r="N7" i="13"/>
  <c r="F87" i="13"/>
  <c r="E5" i="12"/>
  <c r="O5" i="12"/>
  <c r="O7" i="12" s="1"/>
  <c r="E16" i="12"/>
  <c r="L9" i="12"/>
  <c r="L17" i="12"/>
  <c r="H23" i="12"/>
  <c r="L25" i="12"/>
  <c r="R56" i="12"/>
  <c r="R57" i="12" s="1"/>
  <c r="L22" i="12" s="1"/>
  <c r="G21" i="12"/>
  <c r="E14" i="12"/>
  <c r="H14" i="12" s="1"/>
  <c r="G6" i="12"/>
  <c r="G5" i="12"/>
  <c r="D4" i="12"/>
  <c r="E4" i="12" s="1"/>
  <c r="H4" i="12" s="1"/>
  <c r="F103" i="13"/>
  <c r="G20" i="12"/>
  <c r="G19" i="12"/>
  <c r="G18" i="12"/>
  <c r="G10" i="12"/>
  <c r="G9" i="12"/>
  <c r="G8" i="12"/>
  <c r="F97" i="13"/>
  <c r="G27" i="12"/>
  <c r="G25" i="12"/>
  <c r="H25" i="12" s="1"/>
  <c r="C102" i="3"/>
  <c r="C101" i="3"/>
  <c r="C100" i="3"/>
  <c r="C120" i="2"/>
  <c r="C119" i="2"/>
  <c r="C118" i="2"/>
  <c r="C59" i="1"/>
  <c r="C60" i="1"/>
  <c r="F118" i="11" l="1"/>
  <c r="F110" i="11"/>
  <c r="F101" i="11"/>
  <c r="O51" i="12"/>
  <c r="O52" i="12" s="1"/>
  <c r="L13" i="12" s="1"/>
  <c r="O18" i="12"/>
  <c r="O8" i="12"/>
  <c r="O9" i="12" s="1"/>
  <c r="L7" i="12" s="1"/>
  <c r="R8" i="12"/>
  <c r="R18" i="12"/>
  <c r="F87" i="11"/>
  <c r="O15" i="14"/>
  <c r="AM15" i="14"/>
  <c r="AM16" i="14" s="1"/>
  <c r="AM17" i="14" s="1"/>
  <c r="AY34" i="12" s="1"/>
  <c r="R10" i="14"/>
  <c r="R11" i="14" s="1"/>
  <c r="AG15" i="14"/>
  <c r="AG16" i="14" s="1"/>
  <c r="AG17" i="14" s="1"/>
  <c r="AS15" i="14"/>
  <c r="AS16" i="14" s="1"/>
  <c r="AS17" i="14" s="1"/>
  <c r="U12" i="14"/>
  <c r="O12" i="14"/>
  <c r="O13" i="14" s="1"/>
  <c r="AM10" i="14"/>
  <c r="AM11" i="14" s="1"/>
  <c r="AG12" i="14"/>
  <c r="AG13" i="14" s="1"/>
  <c r="AS10" i="14"/>
  <c r="AS11" i="14" s="1"/>
  <c r="R15" i="14"/>
  <c r="AS12" i="14"/>
  <c r="AS13" i="14" s="1"/>
  <c r="AA15" i="14"/>
  <c r="AA16" i="14" s="1"/>
  <c r="AA17" i="14" s="1"/>
  <c r="AA13" i="14"/>
  <c r="AP12" i="14"/>
  <c r="AP13" i="14" s="1"/>
  <c r="AD15" i="14"/>
  <c r="AD16" i="14" s="1"/>
  <c r="AD17" i="14" s="1"/>
  <c r="U15" i="14"/>
  <c r="U13" i="14"/>
  <c r="AD8" i="14"/>
  <c r="AP30" i="12" s="1"/>
  <c r="AP34" i="12" s="1"/>
  <c r="O10" i="14"/>
  <c r="O11" i="14" s="1"/>
  <c r="C12" i="14"/>
  <c r="C13" i="14" s="1"/>
  <c r="C16" i="14" s="1"/>
  <c r="C17" i="14" s="1"/>
  <c r="O30" i="12" s="1"/>
  <c r="O34" i="12" s="1"/>
  <c r="O36" i="12" s="1"/>
  <c r="F12" i="14"/>
  <c r="F13" i="14" s="1"/>
  <c r="F16" i="14" s="1"/>
  <c r="F17" i="14" s="1"/>
  <c r="R30" i="12" s="1"/>
  <c r="R34" i="12" s="1"/>
  <c r="R36" i="12" s="1"/>
  <c r="BE12" i="14"/>
  <c r="BE13" i="14" s="1"/>
  <c r="AA12" i="14"/>
  <c r="U10" i="14"/>
  <c r="U11" i="14" s="1"/>
  <c r="BT30" i="12"/>
  <c r="BT34" i="12" s="1"/>
  <c r="AV10" i="14"/>
  <c r="AV11" i="14" s="1"/>
  <c r="L12" i="14"/>
  <c r="L13" i="14" s="1"/>
  <c r="L16" i="14" s="1"/>
  <c r="L17" i="14" s="1"/>
  <c r="X30" i="12" s="1"/>
  <c r="X34" i="12" s="1"/>
  <c r="X36" i="12" s="1"/>
  <c r="X10" i="14"/>
  <c r="X11" i="14" s="1"/>
  <c r="AV15" i="14"/>
  <c r="AV16" i="14" s="1"/>
  <c r="AV17" i="14" s="1"/>
  <c r="AJ12" i="14"/>
  <c r="X15" i="14"/>
  <c r="AJ13" i="14"/>
  <c r="C112" i="3"/>
  <c r="C111" i="3"/>
  <c r="C110" i="3"/>
  <c r="C103" i="3"/>
  <c r="C109" i="3"/>
  <c r="C108" i="3"/>
  <c r="C104" i="3"/>
  <c r="C107" i="3"/>
  <c r="C106" i="3"/>
  <c r="C105" i="3"/>
  <c r="BH12" i="14"/>
  <c r="BH13" i="14" s="1"/>
  <c r="R52" i="12"/>
  <c r="L21" i="12" s="1"/>
  <c r="R40" i="12"/>
  <c r="R41" i="12" s="1"/>
  <c r="L19" i="12" s="1"/>
  <c r="C21" i="13"/>
  <c r="D28" i="12" s="1"/>
  <c r="E28" i="12" s="1"/>
  <c r="H28" i="12" s="1"/>
  <c r="H27" i="12"/>
  <c r="U34" i="12"/>
  <c r="U36" i="12" s="1"/>
  <c r="BK34" i="12"/>
  <c r="AM34" i="12"/>
  <c r="E12" i="12"/>
  <c r="H12" i="12" s="1"/>
  <c r="D21" i="12"/>
  <c r="E21" i="12" s="1"/>
  <c r="H21" i="12" s="1"/>
  <c r="D19" i="12"/>
  <c r="E19" i="12" s="1"/>
  <c r="H19" i="12" s="1"/>
  <c r="D20" i="12"/>
  <c r="E20" i="12" s="1"/>
  <c r="H20" i="12" s="1"/>
  <c r="D18" i="12"/>
  <c r="E18" i="12" s="1"/>
  <c r="H18" i="12" s="1"/>
  <c r="R16" i="12"/>
  <c r="H16" i="12"/>
  <c r="H5" i="12"/>
  <c r="R5" i="12"/>
  <c r="R7" i="12" s="1"/>
  <c r="D6" i="12"/>
  <c r="E13" i="12" s="1"/>
  <c r="O17" i="12"/>
  <c r="F35" i="1"/>
  <c r="F34" i="1"/>
  <c r="F33" i="1"/>
  <c r="O19" i="12" l="1"/>
  <c r="L8" i="12" s="1"/>
  <c r="R9" i="12"/>
  <c r="L15" i="12" s="1"/>
  <c r="AD12" i="14"/>
  <c r="U16" i="14"/>
  <c r="U17" i="14" s="1"/>
  <c r="R12" i="14"/>
  <c r="R13" i="14" s="1"/>
  <c r="AD13" i="14"/>
  <c r="R16" i="14"/>
  <c r="R17" i="14" s="1"/>
  <c r="AD30" i="12" s="1"/>
  <c r="AD34" i="12" s="1"/>
  <c r="AD36" i="12" s="1"/>
  <c r="L18" i="12" s="1"/>
  <c r="O16" i="14"/>
  <c r="O17" i="14" s="1"/>
  <c r="AA30" i="12" s="1"/>
  <c r="AA34" i="12" s="1"/>
  <c r="AA36" i="12" s="1"/>
  <c r="AM12" i="14"/>
  <c r="AM13" i="14" s="1"/>
  <c r="AV12" i="14"/>
  <c r="AV13" i="14" s="1"/>
  <c r="X12" i="14"/>
  <c r="X13" i="14" s="1"/>
  <c r="X16" i="14" s="1"/>
  <c r="X17" i="14" s="1"/>
  <c r="C39" i="10"/>
  <c r="L10" i="12"/>
  <c r="E6" i="12"/>
  <c r="H6" i="12" s="1"/>
  <c r="D10" i="12"/>
  <c r="D11" i="12" s="1"/>
  <c r="E11" i="12" s="1"/>
  <c r="H11" i="12" s="1"/>
  <c r="R17" i="12"/>
  <c r="D8" i="12"/>
  <c r="D7" i="12"/>
  <c r="E7" i="12" s="1"/>
  <c r="H7" i="12" s="1"/>
  <c r="L71" i="12" l="1"/>
  <c r="L72" i="12" s="1"/>
  <c r="L73" i="12" s="1"/>
  <c r="L57" i="12" s="1"/>
  <c r="R19" i="12"/>
  <c r="L16" i="12" s="1"/>
  <c r="D9" i="12"/>
  <c r="E8" i="12"/>
  <c r="H8" i="12" s="1"/>
  <c r="H13" i="12"/>
  <c r="E10" i="12"/>
  <c r="H10" i="12" s="1"/>
  <c r="I68" i="2"/>
  <c r="I70" i="2"/>
  <c r="F63" i="2"/>
  <c r="F62" i="2"/>
  <c r="F61" i="2"/>
  <c r="F60" i="2"/>
  <c r="F48" i="2"/>
  <c r="F47" i="2"/>
  <c r="F46" i="2"/>
  <c r="E9" i="12" l="1"/>
  <c r="H9" i="12" s="1"/>
  <c r="L74" i="12"/>
  <c r="L76" i="12" s="1"/>
  <c r="G9" i="10" s="1"/>
  <c r="G10" i="10" s="1"/>
  <c r="L52" i="12"/>
  <c r="L56" i="12"/>
  <c r="P4" i="10" s="1"/>
  <c r="L55" i="12"/>
  <c r="L54" i="12"/>
  <c r="L53" i="12"/>
  <c r="F7" i="2"/>
  <c r="F6" i="2"/>
  <c r="F5" i="2"/>
  <c r="C31" i="12" l="1"/>
  <c r="F37" i="12" s="1"/>
  <c r="C30" i="12"/>
  <c r="E34" i="12" s="1"/>
  <c r="L63" i="12"/>
  <c r="L59" i="12" s="1"/>
  <c r="L65" i="12" s="1"/>
  <c r="P3" i="10"/>
  <c r="E36" i="12" l="1"/>
  <c r="E35" i="12"/>
  <c r="E37" i="12"/>
  <c r="F36" i="12"/>
  <c r="F35" i="12"/>
  <c r="F34" i="12"/>
  <c r="L69" i="12"/>
  <c r="L60" i="12"/>
  <c r="L66" i="12" s="1"/>
  <c r="L58" i="12"/>
  <c r="L61" i="12"/>
  <c r="L67" i="12" s="1"/>
  <c r="L62" i="12"/>
  <c r="P8" i="10" s="1"/>
  <c r="N12" i="4"/>
  <c r="N11" i="4"/>
  <c r="D107" i="4"/>
  <c r="D106" i="4"/>
  <c r="D105" i="4"/>
  <c r="D102" i="4"/>
  <c r="D101" i="4"/>
  <c r="D100" i="4"/>
  <c r="D99" i="4"/>
  <c r="C39" i="12" l="1"/>
  <c r="C42" i="12" s="1"/>
  <c r="C40" i="12"/>
  <c r="C43" i="12" s="1"/>
  <c r="G5" i="10" s="1"/>
  <c r="K5" i="10" s="1"/>
  <c r="P7" i="10"/>
  <c r="L64" i="12"/>
  <c r="P5" i="10" s="1"/>
  <c r="L68" i="12"/>
  <c r="P6" i="10" s="1"/>
  <c r="F50" i="2"/>
  <c r="L9" i="10" l="1"/>
  <c r="L10" i="10"/>
  <c r="BT32" i="3"/>
  <c r="BN32" i="3"/>
  <c r="BH32" i="3"/>
  <c r="BB32" i="3"/>
  <c r="AV32" i="3"/>
  <c r="AP32" i="3"/>
  <c r="AJ32" i="3"/>
  <c r="AD32" i="3"/>
  <c r="X32" i="3"/>
  <c r="R32" i="3"/>
  <c r="BH4" i="5" l="1"/>
  <c r="BE4" i="5"/>
  <c r="BB4" i="5"/>
  <c r="AY4" i="5"/>
  <c r="AV4" i="5"/>
  <c r="AS4" i="5"/>
  <c r="AP4" i="5"/>
  <c r="AM4" i="5"/>
  <c r="AJ4" i="5"/>
  <c r="AG4" i="5"/>
  <c r="AD4" i="5"/>
  <c r="AA4" i="5"/>
  <c r="X4" i="5"/>
  <c r="U4" i="5"/>
  <c r="R4" i="5"/>
  <c r="O4" i="5"/>
  <c r="L4" i="5"/>
  <c r="I4" i="5"/>
  <c r="F4" i="5"/>
  <c r="C4" i="5"/>
  <c r="R14" i="3"/>
  <c r="O14" i="3"/>
  <c r="R6" i="3"/>
  <c r="O6" i="3"/>
  <c r="O50" i="3" l="1"/>
  <c r="O45" i="3"/>
  <c r="O46" i="3" s="1"/>
  <c r="L12" i="3" s="1"/>
  <c r="BQ32" i="3"/>
  <c r="BK32" i="3"/>
  <c r="BE32" i="3"/>
  <c r="AY32" i="3"/>
  <c r="AS32" i="3"/>
  <c r="AM32" i="3"/>
  <c r="AG32" i="3"/>
  <c r="AA32" i="3"/>
  <c r="U32" i="3"/>
  <c r="O32" i="3"/>
  <c r="BH3" i="5"/>
  <c r="BH14" i="5" s="1"/>
  <c r="BE3" i="5"/>
  <c r="BE14" i="5" s="1"/>
  <c r="BB3" i="5"/>
  <c r="BB14" i="5" s="1"/>
  <c r="AY3" i="5"/>
  <c r="AY14" i="5" s="1"/>
  <c r="AV3" i="5"/>
  <c r="AV14" i="5" s="1"/>
  <c r="AS3" i="5"/>
  <c r="AS14" i="5" s="1"/>
  <c r="AP3" i="5"/>
  <c r="AP14" i="5" s="1"/>
  <c r="AM3" i="5"/>
  <c r="AM14" i="5" s="1"/>
  <c r="AJ3" i="5"/>
  <c r="AJ14" i="5" s="1"/>
  <c r="AG3" i="5"/>
  <c r="AG14" i="5" s="1"/>
  <c r="AD3" i="5"/>
  <c r="AD14" i="5" s="1"/>
  <c r="AA3" i="5"/>
  <c r="AA14" i="5" s="1"/>
  <c r="X3" i="5"/>
  <c r="X14" i="5" s="1"/>
  <c r="U3" i="5"/>
  <c r="U14" i="5" s="1"/>
  <c r="R3" i="5"/>
  <c r="O3" i="5"/>
  <c r="L3" i="5"/>
  <c r="L14" i="5" s="1"/>
  <c r="I3" i="5"/>
  <c r="I14" i="5" s="1"/>
  <c r="F3" i="5"/>
  <c r="F14" i="5" s="1"/>
  <c r="BH2" i="5"/>
  <c r="BH5" i="5" s="1"/>
  <c r="BH6" i="5" s="1"/>
  <c r="BH9" i="5" s="1"/>
  <c r="BE2" i="5"/>
  <c r="BE5" i="5" s="1"/>
  <c r="BB2" i="5"/>
  <c r="BB5" i="5" s="1"/>
  <c r="BB7" i="5" s="1"/>
  <c r="AY2" i="5"/>
  <c r="AY5" i="5" s="1"/>
  <c r="AV2" i="5"/>
  <c r="AV5" i="5" s="1"/>
  <c r="AV7" i="5" s="1"/>
  <c r="AS2" i="5"/>
  <c r="AS5" i="5" s="1"/>
  <c r="AP2" i="5"/>
  <c r="AP5" i="5" s="1"/>
  <c r="AM2" i="5"/>
  <c r="AM5" i="5" s="1"/>
  <c r="AJ2" i="5"/>
  <c r="AJ5" i="5" s="1"/>
  <c r="AG2" i="5"/>
  <c r="AG5" i="5" s="1"/>
  <c r="AG7" i="5" s="1"/>
  <c r="AD2" i="5"/>
  <c r="AD5" i="5" s="1"/>
  <c r="AD6" i="5" s="1"/>
  <c r="AD9" i="5" s="1"/>
  <c r="AA2" i="5"/>
  <c r="AA5" i="5" s="1"/>
  <c r="X2" i="5"/>
  <c r="X5" i="5" s="1"/>
  <c r="U2" i="5"/>
  <c r="U5" i="5" s="1"/>
  <c r="R2" i="5"/>
  <c r="R5" i="5" s="1"/>
  <c r="O2" i="5"/>
  <c r="O5" i="5" s="1"/>
  <c r="L2" i="5"/>
  <c r="L5" i="5" s="1"/>
  <c r="L7" i="5" s="1"/>
  <c r="I2" i="5"/>
  <c r="I5" i="5" s="1"/>
  <c r="F2" i="5"/>
  <c r="F5" i="5" s="1"/>
  <c r="C3" i="5"/>
  <c r="C2" i="5"/>
  <c r="BT23" i="3"/>
  <c r="BQ23" i="3"/>
  <c r="BN23" i="3"/>
  <c r="BN26" i="3" s="1"/>
  <c r="BK23" i="3"/>
  <c r="BK26" i="3" s="1"/>
  <c r="BH23" i="3"/>
  <c r="BE23" i="3"/>
  <c r="BB23" i="3"/>
  <c r="BB26" i="3" s="1"/>
  <c r="AY23" i="3"/>
  <c r="AV23" i="3"/>
  <c r="AS23" i="3"/>
  <c r="AS26" i="3" s="1"/>
  <c r="AP23" i="3"/>
  <c r="AP26" i="3" s="1"/>
  <c r="AM23" i="3"/>
  <c r="AM26" i="3" s="1"/>
  <c r="AJ23" i="3"/>
  <c r="AG23" i="3"/>
  <c r="AD23" i="3"/>
  <c r="AA23" i="3"/>
  <c r="X23" i="3"/>
  <c r="U23" i="3"/>
  <c r="BT25" i="3"/>
  <c r="BT24" i="3"/>
  <c r="BQ25" i="3"/>
  <c r="BQ24" i="3"/>
  <c r="BN25" i="3"/>
  <c r="BN24" i="3"/>
  <c r="BK25" i="3"/>
  <c r="BK24" i="3"/>
  <c r="BH25" i="3"/>
  <c r="BH24" i="3"/>
  <c r="BE25" i="3"/>
  <c r="BE24" i="3"/>
  <c r="BB25" i="3"/>
  <c r="BB24" i="3"/>
  <c r="AY25" i="3"/>
  <c r="AY24" i="3"/>
  <c r="AV25" i="3"/>
  <c r="AV24" i="3"/>
  <c r="AS25" i="3"/>
  <c r="AS24" i="3"/>
  <c r="AP25" i="3"/>
  <c r="AP24" i="3"/>
  <c r="AM25" i="3"/>
  <c r="AM24" i="3"/>
  <c r="AJ25" i="3"/>
  <c r="AJ24" i="3"/>
  <c r="AG25" i="3"/>
  <c r="AG24" i="3"/>
  <c r="AD25" i="3"/>
  <c r="AD24" i="3"/>
  <c r="AA25" i="3"/>
  <c r="AA24" i="3"/>
  <c r="X25" i="3"/>
  <c r="X24" i="3"/>
  <c r="U25" i="3"/>
  <c r="U24" i="3"/>
  <c r="R25" i="3"/>
  <c r="O25" i="3"/>
  <c r="R24" i="3"/>
  <c r="O24" i="3"/>
  <c r="AV26" i="3" l="1"/>
  <c r="BQ26" i="3"/>
  <c r="BT26" i="3"/>
  <c r="BE26" i="3"/>
  <c r="BH26" i="3"/>
  <c r="AY26" i="3"/>
  <c r="O26" i="3"/>
  <c r="X26" i="3"/>
  <c r="AJ26" i="3"/>
  <c r="AG26" i="3"/>
  <c r="AA26" i="3"/>
  <c r="U26" i="3"/>
  <c r="R26" i="3"/>
  <c r="O14" i="5"/>
  <c r="AD26" i="3"/>
  <c r="R14" i="5"/>
  <c r="AJ6" i="5"/>
  <c r="AJ10" i="5" s="1"/>
  <c r="R6" i="5"/>
  <c r="R10" i="5" s="1"/>
  <c r="U6" i="5"/>
  <c r="U10" i="5" s="1"/>
  <c r="AY7" i="5"/>
  <c r="AY8" i="5" s="1"/>
  <c r="AD10" i="5"/>
  <c r="AD11" i="5" s="1"/>
  <c r="AJ7" i="5"/>
  <c r="BH10" i="5"/>
  <c r="BH11" i="5" s="1"/>
  <c r="O7" i="5"/>
  <c r="O8" i="5" s="1"/>
  <c r="AD7" i="5"/>
  <c r="AD8" i="5" s="1"/>
  <c r="BH7" i="5"/>
  <c r="BH8" i="5" s="1"/>
  <c r="U7" i="5"/>
  <c r="U8" i="5" s="1"/>
  <c r="BH15" i="5"/>
  <c r="BE6" i="5"/>
  <c r="BE9" i="5" s="1"/>
  <c r="BE7" i="5"/>
  <c r="BE8" i="5" s="1"/>
  <c r="BB6" i="5"/>
  <c r="BB9" i="5" s="1"/>
  <c r="BB8" i="5"/>
  <c r="AY6" i="5"/>
  <c r="AY9" i="5" s="1"/>
  <c r="AV8" i="5"/>
  <c r="AV6" i="5"/>
  <c r="AV9" i="5" s="1"/>
  <c r="AS7" i="5"/>
  <c r="AS6" i="5"/>
  <c r="AS9" i="5" s="1"/>
  <c r="AP7" i="5"/>
  <c r="AP8" i="5" s="1"/>
  <c r="AP6" i="5"/>
  <c r="AP9" i="5" s="1"/>
  <c r="AM7" i="5"/>
  <c r="AM6" i="5"/>
  <c r="AM9" i="5" s="1"/>
  <c r="AG6" i="5"/>
  <c r="AG9" i="5" s="1"/>
  <c r="AG8" i="5"/>
  <c r="AD15" i="5"/>
  <c r="AA6" i="5"/>
  <c r="AA9" i="5" s="1"/>
  <c r="AA7" i="5"/>
  <c r="AA8" i="5" s="1"/>
  <c r="X6" i="5"/>
  <c r="X9" i="5" s="1"/>
  <c r="X7" i="5"/>
  <c r="X8" i="5" s="1"/>
  <c r="R7" i="5"/>
  <c r="R8" i="5" s="1"/>
  <c r="O6" i="5"/>
  <c r="O9" i="5" s="1"/>
  <c r="L6" i="5"/>
  <c r="L9" i="5" s="1"/>
  <c r="L8" i="5"/>
  <c r="I7" i="5"/>
  <c r="I8" i="5" s="1"/>
  <c r="I6" i="5"/>
  <c r="I9" i="5" s="1"/>
  <c r="F6" i="5"/>
  <c r="F9" i="5" s="1"/>
  <c r="F7" i="5"/>
  <c r="F8" i="5" s="1"/>
  <c r="C149" i="4"/>
  <c r="C148" i="4" s="1"/>
  <c r="C145" i="4"/>
  <c r="C146" i="4" s="1"/>
  <c r="C143" i="4"/>
  <c r="C141" i="4"/>
  <c r="C133" i="4"/>
  <c r="C134" i="4" s="1"/>
  <c r="C131" i="4"/>
  <c r="C129" i="4"/>
  <c r="N13" i="4"/>
  <c r="E16" i="3" s="1"/>
  <c r="R50" i="3"/>
  <c r="F39" i="2"/>
  <c r="G15" i="3" s="1"/>
  <c r="F37" i="2"/>
  <c r="G14" i="3" s="1"/>
  <c r="BT34" i="3" l="1"/>
  <c r="BT36" i="3" s="1"/>
  <c r="L17" i="3"/>
  <c r="L9" i="3"/>
  <c r="C130" i="4"/>
  <c r="C144" i="4"/>
  <c r="C142" i="4"/>
  <c r="C132" i="4"/>
  <c r="U9" i="5"/>
  <c r="U15" i="5" s="1"/>
  <c r="R9" i="5"/>
  <c r="R15" i="5" s="1"/>
  <c r="I10" i="5"/>
  <c r="I12" i="5" s="1"/>
  <c r="AJ9" i="5"/>
  <c r="AJ15" i="5" s="1"/>
  <c r="AY10" i="5"/>
  <c r="AY11" i="5" s="1"/>
  <c r="AP10" i="5"/>
  <c r="AP11" i="5" s="1"/>
  <c r="R56" i="3"/>
  <c r="R57" i="3" s="1"/>
  <c r="L22" i="3" s="1"/>
  <c r="BH12" i="5"/>
  <c r="BH13" i="5" s="1"/>
  <c r="BH16" i="5" s="1"/>
  <c r="BH17" i="5" s="1"/>
  <c r="E15" i="3"/>
  <c r="H15" i="3" s="1"/>
  <c r="AS10" i="5"/>
  <c r="AS11" i="5" s="1"/>
  <c r="AD12" i="5"/>
  <c r="AD13" i="5" s="1"/>
  <c r="AD16" i="5" s="1"/>
  <c r="AD17" i="5" s="1"/>
  <c r="AJ8" i="5"/>
  <c r="AM10" i="5"/>
  <c r="AM11" i="5" s="1"/>
  <c r="H14" i="3"/>
  <c r="R45" i="3"/>
  <c r="R46" i="3" s="1"/>
  <c r="L20" i="3" s="1"/>
  <c r="BE15" i="5"/>
  <c r="BE10" i="5"/>
  <c r="BE11" i="5" s="1"/>
  <c r="BB15" i="5"/>
  <c r="BB10" i="5"/>
  <c r="AY15" i="5"/>
  <c r="AV15" i="5"/>
  <c r="AV10" i="5"/>
  <c r="AS8" i="5"/>
  <c r="AS15" i="5"/>
  <c r="AP15" i="5"/>
  <c r="AM8" i="5"/>
  <c r="AM15" i="5"/>
  <c r="AG15" i="5"/>
  <c r="AG10" i="5"/>
  <c r="AA15" i="5"/>
  <c r="AA10" i="5"/>
  <c r="AA11" i="5" s="1"/>
  <c r="X15" i="5"/>
  <c r="X10" i="5"/>
  <c r="X11" i="5" s="1"/>
  <c r="O15" i="5"/>
  <c r="O10" i="5"/>
  <c r="L15" i="5"/>
  <c r="L10" i="5"/>
  <c r="I15" i="5"/>
  <c r="F15" i="5"/>
  <c r="F10" i="5"/>
  <c r="F11" i="5" s="1"/>
  <c r="AY12" i="5" l="1"/>
  <c r="AY13" i="5" s="1"/>
  <c r="AY16" i="5" s="1"/>
  <c r="AY17" i="5" s="1"/>
  <c r="BK34" i="3" s="1"/>
  <c r="BK36" i="3" s="1"/>
  <c r="AS12" i="5"/>
  <c r="AS13" i="5" s="1"/>
  <c r="AS16" i="5" s="1"/>
  <c r="AS17" i="5" s="1"/>
  <c r="BE34" i="3" s="1"/>
  <c r="BE36" i="3" s="1"/>
  <c r="AP12" i="5"/>
  <c r="AP13" i="5" s="1"/>
  <c r="AP16" i="5" s="1"/>
  <c r="AP17" i="5" s="1"/>
  <c r="BB34" i="3" s="1"/>
  <c r="BB36" i="3" s="1"/>
  <c r="AJ11" i="5"/>
  <c r="R11" i="5"/>
  <c r="I11" i="5"/>
  <c r="I13" i="5" s="1"/>
  <c r="I16" i="5" s="1"/>
  <c r="I17" i="5" s="1"/>
  <c r="U12" i="5"/>
  <c r="U11" i="5"/>
  <c r="R12" i="5"/>
  <c r="AJ12" i="5"/>
  <c r="BQ34" i="3"/>
  <c r="BQ36" i="3" s="1"/>
  <c r="AP34" i="3"/>
  <c r="AP36" i="3" s="1"/>
  <c r="BE12" i="5"/>
  <c r="BE13" i="5" s="1"/>
  <c r="BE16" i="5" s="1"/>
  <c r="BE17" i="5" s="1"/>
  <c r="AM12" i="5"/>
  <c r="AM13" i="5" s="1"/>
  <c r="AM16" i="5" s="1"/>
  <c r="AM17" i="5" s="1"/>
  <c r="AY34" i="3" s="1"/>
  <c r="AY36" i="3" s="1"/>
  <c r="X12" i="5"/>
  <c r="X13" i="5" s="1"/>
  <c r="X16" i="5" s="1"/>
  <c r="X17" i="5" s="1"/>
  <c r="F12" i="5"/>
  <c r="F13" i="5" s="1"/>
  <c r="F16" i="5" s="1"/>
  <c r="F17" i="5" s="1"/>
  <c r="BB11" i="5"/>
  <c r="BB12" i="5"/>
  <c r="AV11" i="5"/>
  <c r="AV12" i="5"/>
  <c r="AG11" i="5"/>
  <c r="AG12" i="5"/>
  <c r="AA12" i="5"/>
  <c r="AA13" i="5" s="1"/>
  <c r="AA16" i="5" s="1"/>
  <c r="AA17" i="5" s="1"/>
  <c r="O11" i="5"/>
  <c r="O12" i="5"/>
  <c r="L11" i="5"/>
  <c r="L12" i="5"/>
  <c r="F41" i="2"/>
  <c r="G16" i="3" s="1"/>
  <c r="F43" i="2"/>
  <c r="G17" i="3" s="1"/>
  <c r="F18" i="2"/>
  <c r="E17" i="3" s="1"/>
  <c r="R13" i="5" l="1"/>
  <c r="R16" i="5" s="1"/>
  <c r="R17" i="5" s="1"/>
  <c r="AD34" i="3" s="1"/>
  <c r="AD36" i="3" s="1"/>
  <c r="H16" i="3"/>
  <c r="U34" i="3"/>
  <c r="U36" i="3" s="1"/>
  <c r="AJ13" i="5"/>
  <c r="AJ16" i="5" s="1"/>
  <c r="AJ17" i="5" s="1"/>
  <c r="U13" i="5"/>
  <c r="U16" i="5" s="1"/>
  <c r="U17" i="5" s="1"/>
  <c r="H17" i="3"/>
  <c r="AV13" i="5"/>
  <c r="AV16" i="5" s="1"/>
  <c r="AV17" i="5" s="1"/>
  <c r="BH34" i="3" s="1"/>
  <c r="BH36" i="3" s="1"/>
  <c r="L13" i="5"/>
  <c r="L16" i="5" s="1"/>
  <c r="L17" i="5" s="1"/>
  <c r="AM34" i="3"/>
  <c r="AM36" i="3" s="1"/>
  <c r="AJ34" i="3"/>
  <c r="AJ36" i="3" s="1"/>
  <c r="R34" i="3"/>
  <c r="R36" i="3" s="1"/>
  <c r="AG13" i="5"/>
  <c r="AG16" i="5" s="1"/>
  <c r="AG17" i="5" s="1"/>
  <c r="BB13" i="5"/>
  <c r="BB16" i="5" s="1"/>
  <c r="BB17" i="5" s="1"/>
  <c r="BN34" i="3" s="1"/>
  <c r="BN36" i="3" s="1"/>
  <c r="O13" i="5"/>
  <c r="O16" i="5" s="1"/>
  <c r="O17" i="5" s="1"/>
  <c r="E108" i="4"/>
  <c r="E103" i="4"/>
  <c r="O5" i="3"/>
  <c r="O7" i="3" s="1"/>
  <c r="AV34" i="3" l="1"/>
  <c r="AV36" i="3" s="1"/>
  <c r="AG34" i="3"/>
  <c r="AG36" i="3" s="1"/>
  <c r="X34" i="3"/>
  <c r="X36" i="3" s="1"/>
  <c r="O40" i="3"/>
  <c r="O41" i="3" s="1"/>
  <c r="L11" i="3" s="1"/>
  <c r="AA34" i="3"/>
  <c r="AA36" i="3" s="1"/>
  <c r="AS34" i="3"/>
  <c r="AS36" i="3" s="1"/>
  <c r="O16" i="3"/>
  <c r="D4" i="3"/>
  <c r="D5" i="3"/>
  <c r="F108" i="4"/>
  <c r="L18" i="3" l="1"/>
  <c r="O17" i="3"/>
  <c r="F103" i="4"/>
  <c r="N21" i="3"/>
  <c r="L5" i="1" l="1"/>
  <c r="I72" i="2" l="1"/>
  <c r="D94" i="2"/>
  <c r="E86" i="2"/>
  <c r="F70" i="2"/>
  <c r="L23" i="3" s="1"/>
  <c r="D86" i="2"/>
  <c r="L47" i="3"/>
  <c r="L48" i="3"/>
  <c r="L49" i="3"/>
  <c r="L50" i="3"/>
  <c r="F59" i="2"/>
  <c r="L46" i="3" s="1"/>
  <c r="F55" i="2"/>
  <c r="F56" i="2"/>
  <c r="L44" i="3" s="1"/>
  <c r="F57" i="2"/>
  <c r="L45" i="3" s="1"/>
  <c r="F52" i="2"/>
  <c r="L51" i="3"/>
  <c r="F45" i="2"/>
  <c r="F25" i="2"/>
  <c r="F27" i="2"/>
  <c r="F29" i="2"/>
  <c r="F31" i="2"/>
  <c r="G12" i="3" s="1"/>
  <c r="F33" i="2"/>
  <c r="F35" i="2"/>
  <c r="F23" i="2"/>
  <c r="F90" i="2" l="1"/>
  <c r="L36" i="3" s="1"/>
  <c r="F92" i="2"/>
  <c r="L38" i="3" s="1"/>
  <c r="F91" i="2"/>
  <c r="L37" i="3" s="1"/>
  <c r="F89" i="2"/>
  <c r="L35" i="3" s="1"/>
  <c r="F93" i="2"/>
  <c r="L39" i="3" s="1"/>
  <c r="L40" i="3"/>
  <c r="L41" i="3"/>
  <c r="L42" i="3"/>
  <c r="G86" i="2"/>
  <c r="F85" i="2"/>
  <c r="L34" i="3" s="1"/>
  <c r="F77" i="2"/>
  <c r="L27" i="3" s="1"/>
  <c r="F76" i="2"/>
  <c r="L26" i="3" s="1"/>
  <c r="F82" i="2"/>
  <c r="L31" i="3" s="1"/>
  <c r="F81" i="2"/>
  <c r="L30" i="3" s="1"/>
  <c r="F78" i="2"/>
  <c r="L28" i="3" s="1"/>
  <c r="F84" i="2"/>
  <c r="L33" i="3" s="1"/>
  <c r="F83" i="2"/>
  <c r="L32" i="3" s="1"/>
  <c r="F75" i="2"/>
  <c r="L25" i="3" s="1"/>
  <c r="F79" i="2"/>
  <c r="L29" i="3" s="1"/>
  <c r="F74" i="2"/>
  <c r="L24" i="3" s="1"/>
  <c r="G94" i="2"/>
  <c r="L43" i="3"/>
  <c r="G7" i="3"/>
  <c r="G11" i="3"/>
  <c r="G6" i="3"/>
  <c r="G9" i="3"/>
  <c r="G8" i="3"/>
  <c r="G4" i="3"/>
  <c r="H4" i="3" s="1"/>
  <c r="F94" i="2" l="1"/>
  <c r="R51" i="3"/>
  <c r="R52" i="3" s="1"/>
  <c r="L21" i="3" s="1"/>
  <c r="O51" i="3"/>
  <c r="R18" i="3"/>
  <c r="R8" i="3"/>
  <c r="O18" i="3"/>
  <c r="O19" i="3" s="1"/>
  <c r="L8" i="3" s="1"/>
  <c r="O8" i="3"/>
  <c r="O9" i="3" s="1"/>
  <c r="L7" i="3" s="1"/>
  <c r="F86" i="2"/>
  <c r="F15" i="2"/>
  <c r="F16" i="2"/>
  <c r="F13" i="2"/>
  <c r="F12" i="2"/>
  <c r="H5" i="3" s="1"/>
  <c r="F10" i="2"/>
  <c r="F9" i="2"/>
  <c r="O52" i="3" l="1"/>
  <c r="L13" i="3" s="1"/>
  <c r="L10" i="4"/>
  <c r="L9" i="4"/>
  <c r="F32" i="1" l="1"/>
  <c r="N10" i="4" s="1"/>
  <c r="N9" i="4"/>
  <c r="D11" i="4"/>
  <c r="C22" i="4" s="1"/>
  <c r="L6" i="3"/>
  <c r="L5" i="3"/>
  <c r="F68" i="2"/>
  <c r="R40" i="3" l="1"/>
  <c r="R41" i="3" s="1"/>
  <c r="L19" i="3" s="1"/>
  <c r="L4" i="3"/>
  <c r="H23" i="3"/>
  <c r="C14" i="5" l="1"/>
  <c r="C5" i="5"/>
  <c r="C6" i="5" l="1"/>
  <c r="C9" i="5" s="1"/>
  <c r="C15" i="5" s="1"/>
  <c r="C7" i="5"/>
  <c r="C8" i="5" s="1"/>
  <c r="C10" i="5" l="1"/>
  <c r="C11" i="5" s="1"/>
  <c r="C12" i="5" l="1"/>
  <c r="C13" i="5" s="1"/>
  <c r="C16" i="5" s="1"/>
  <c r="C17" i="5" s="1"/>
  <c r="O34" i="3" l="1"/>
  <c r="O36" i="3" l="1"/>
  <c r="L10" i="3" s="1"/>
  <c r="L71" i="3" s="1"/>
  <c r="L72" i="3" s="1"/>
  <c r="L73" i="3" l="1"/>
  <c r="L57" i="3" l="1"/>
  <c r="L55" i="3" s="1"/>
  <c r="L54" i="3" l="1"/>
  <c r="L56" i="3"/>
  <c r="P4" i="1" s="1"/>
  <c r="L52" i="3"/>
  <c r="L53" i="3"/>
  <c r="D148" i="4"/>
  <c r="P3" i="1" l="1"/>
  <c r="F97" i="4"/>
  <c r="L8" i="4"/>
  <c r="F30" i="1" l="1"/>
  <c r="N8" i="4" s="1"/>
  <c r="D82" i="4" s="1"/>
  <c r="D81" i="4" l="1"/>
  <c r="D85" i="4"/>
  <c r="R13" i="3"/>
  <c r="R17" i="3" s="1"/>
  <c r="D83" i="4"/>
  <c r="D80" i="4"/>
  <c r="D84" i="4"/>
  <c r="D86" i="4"/>
  <c r="F87" i="4" l="1"/>
  <c r="R16" i="3"/>
  <c r="R19" i="3" s="1"/>
  <c r="L16" i="3" s="1"/>
  <c r="L7" i="4"/>
  <c r="F29" i="1" s="1"/>
  <c r="N7" i="4" s="1"/>
  <c r="D23" i="3" l="1"/>
  <c r="D25" i="3"/>
  <c r="H25" i="3" s="1"/>
  <c r="D26" i="3"/>
  <c r="H26" i="3" s="1"/>
  <c r="D27" i="3"/>
  <c r="H27" i="3" s="1"/>
  <c r="D24" i="3"/>
  <c r="H24" i="3" s="1"/>
  <c r="H22" i="3"/>
  <c r="D21" i="3"/>
  <c r="H21" i="3" s="1"/>
  <c r="C21" i="4"/>
  <c r="D28" i="3" s="1"/>
  <c r="D19" i="3"/>
  <c r="H19" i="3" s="1"/>
  <c r="D20" i="3"/>
  <c r="H20" i="3" s="1"/>
  <c r="H12" i="3"/>
  <c r="R5" i="3"/>
  <c r="R7" i="3" s="1"/>
  <c r="R9" i="3" s="1"/>
  <c r="L15" i="3" s="1"/>
  <c r="L74" i="3" s="1"/>
  <c r="L63" i="3" s="1"/>
  <c r="D6" i="3"/>
  <c r="C39" i="1" l="1"/>
  <c r="H13" i="3"/>
  <c r="H18" i="3"/>
  <c r="D8" i="3"/>
  <c r="D9" i="3" s="1"/>
  <c r="E9" i="3" s="1"/>
  <c r="H9" i="3" s="1"/>
  <c r="D7" i="3"/>
  <c r="H7" i="3" s="1"/>
  <c r="H10" i="3"/>
  <c r="H6" i="3"/>
  <c r="L76" i="3"/>
  <c r="G9" i="1" s="1"/>
  <c r="G10" i="1" s="1"/>
  <c r="L58" i="3"/>
  <c r="L61" i="3"/>
  <c r="L67" i="3" s="1"/>
  <c r="L59" i="3"/>
  <c r="L65" i="3" s="1"/>
  <c r="L62" i="3"/>
  <c r="L60" i="3"/>
  <c r="L66" i="3" s="1"/>
  <c r="L69" i="3"/>
  <c r="E8" i="3" l="1"/>
  <c r="H8" i="3" s="1"/>
  <c r="D11" i="3"/>
  <c r="H11" i="3" s="1"/>
  <c r="L64" i="3"/>
  <c r="P5" i="1" s="1"/>
  <c r="P7" i="1"/>
  <c r="P8" i="1"/>
  <c r="L68" i="3"/>
  <c r="P6" i="1" s="1"/>
  <c r="C31" i="3" l="1"/>
  <c r="F37" i="3" s="1"/>
  <c r="C30" i="3"/>
  <c r="E37" i="3" l="1"/>
  <c r="E35" i="3"/>
  <c r="F35" i="3"/>
  <c r="F34" i="3"/>
  <c r="F36" i="3"/>
  <c r="E34" i="3"/>
  <c r="E36" i="3"/>
  <c r="C40" i="3" l="1"/>
  <c r="C43" i="3" s="1"/>
  <c r="C39" i="3"/>
  <c r="C42" i="3" s="1"/>
  <c r="G5" i="1" l="1"/>
  <c r="K5" i="1" s="1"/>
  <c r="L10" i="1" l="1"/>
  <c r="L9" i="1"/>
</calcChain>
</file>

<file path=xl/sharedStrings.xml><?xml version="1.0" encoding="utf-8"?>
<sst xmlns="http://schemas.openxmlformats.org/spreadsheetml/2006/main" count="3809" uniqueCount="761">
  <si>
    <t>ROAD ELEMENTS</t>
  </si>
  <si>
    <t>Average Embankment Height (ft) by Terrain</t>
  </si>
  <si>
    <t>Terrain</t>
  </si>
  <si>
    <t>Level</t>
  </si>
  <si>
    <t>Rolling</t>
  </si>
  <si>
    <t>Mountainous</t>
  </si>
  <si>
    <t>Default</t>
  </si>
  <si>
    <t>User Supplied</t>
  </si>
  <si>
    <t>Values Used</t>
  </si>
  <si>
    <t>Base Depth (in)</t>
  </si>
  <si>
    <t>Travelled-way</t>
  </si>
  <si>
    <t>Shoulder</t>
  </si>
  <si>
    <t>Milling Depth (in), Flexible Pavement</t>
  </si>
  <si>
    <t>Pavement Depth (in), Flexible Pavement</t>
  </si>
  <si>
    <t>COST ELEMENTS</t>
  </si>
  <si>
    <t>Base Unit Cost</t>
  </si>
  <si>
    <t>Milling Unit Cost</t>
  </si>
  <si>
    <t>Flexible Pavement Unit Cost</t>
  </si>
  <si>
    <t>Rigid Pavement Unit Cost</t>
  </si>
  <si>
    <t>Unpaved Shoulder Unit Cost</t>
  </si>
  <si>
    <t>Embankment Unit Cost</t>
  </si>
  <si>
    <t>Right-of-way Unit Cost</t>
  </si>
  <si>
    <t>Incidentals (% of Total Project Cost w/o ROW Cost)</t>
  </si>
  <si>
    <t>MARR/discount rate</t>
  </si>
  <si>
    <t>Service Life (yrs)</t>
  </si>
  <si>
    <t>Crash Cost by Severity ($/crash)</t>
  </si>
  <si>
    <t>$/CY</t>
  </si>
  <si>
    <t>$/SY</t>
  </si>
  <si>
    <t>$/acre</t>
  </si>
  <si>
    <t>Drainage</t>
  </si>
  <si>
    <t>Erosion Control</t>
  </si>
  <si>
    <t>Traffic Control</t>
  </si>
  <si>
    <t>Signing and PM</t>
  </si>
  <si>
    <t>%</t>
  </si>
  <si>
    <t>Slope Flattening</t>
  </si>
  <si>
    <t>Lane Widening</t>
  </si>
  <si>
    <t>Shoulder Widening</t>
  </si>
  <si>
    <t>Rumble Strip Install</t>
  </si>
  <si>
    <t>Striping/Delineation</t>
  </si>
  <si>
    <t>Superelevation Restoration</t>
  </si>
  <si>
    <t>Fatal</t>
  </si>
  <si>
    <t>Disabling Injury</t>
  </si>
  <si>
    <t>Evident Injury</t>
  </si>
  <si>
    <t>Possible Injury</t>
  </si>
  <si>
    <t>Property Damage Only</t>
  </si>
  <si>
    <t>SAFETY ELEMENTS</t>
  </si>
  <si>
    <t>Rural 2-lane SPF</t>
  </si>
  <si>
    <t>Calibration Factor</t>
  </si>
  <si>
    <t>Crash Type Proportion</t>
  </si>
  <si>
    <t>Crash Severity Proportion</t>
  </si>
  <si>
    <t>SVROR</t>
  </si>
  <si>
    <t>Head-on</t>
  </si>
  <si>
    <t>Opposite-direction Sideswipe</t>
  </si>
  <si>
    <t>Same-direction Sideswipe</t>
  </si>
  <si>
    <t>Disabiling Injury</t>
  </si>
  <si>
    <t>HSM</t>
  </si>
  <si>
    <t>=f(AADT, L)</t>
  </si>
  <si>
    <t>EXISTING CROSS SECTION</t>
  </si>
  <si>
    <t>Roadside Foreslope</t>
  </si>
  <si>
    <t>Lane Width</t>
  </si>
  <si>
    <t>AADT</t>
  </si>
  <si>
    <t>Pavement Type</t>
  </si>
  <si>
    <t>ALIGNMENT DATA</t>
  </si>
  <si>
    <t>Enter average curve data</t>
  </si>
  <si>
    <t>*Enter specific curve data</t>
  </si>
  <si>
    <t>AVERAGE CURVE DATA</t>
  </si>
  <si>
    <t>Typical Curve Radius (ft)</t>
  </si>
  <si>
    <t>SPECIFIC CURVE DATA</t>
  </si>
  <si>
    <t>Curve 1</t>
  </si>
  <si>
    <t>Curve 2</t>
  </si>
  <si>
    <t>Curve #</t>
  </si>
  <si>
    <t>Length</t>
  </si>
  <si>
    <t>Spiral</t>
  </si>
  <si>
    <t>Centerline Rumble Strip</t>
  </si>
  <si>
    <t>Shoulder Rumble Strip</t>
  </si>
  <si>
    <t>Improve Striping/Delineation</t>
  </si>
  <si>
    <t>Consider for Improvement</t>
  </si>
  <si>
    <t>Suggested Improvement</t>
  </si>
  <si>
    <t>User Suggested</t>
  </si>
  <si>
    <t>Value Used</t>
  </si>
  <si>
    <t>Curve 3</t>
  </si>
  <si>
    <t>PAVEMENT AND BASE</t>
  </si>
  <si>
    <t>Milling</t>
  </si>
  <si>
    <t>Resurfacing</t>
  </si>
  <si>
    <t>Widening</t>
  </si>
  <si>
    <t>Base</t>
  </si>
  <si>
    <t>Shoulder Milling</t>
  </si>
  <si>
    <t>Shoulder Resurfacing</t>
  </si>
  <si>
    <t>Shoulder Base</t>
  </si>
  <si>
    <t>Unpaved Shoulder</t>
  </si>
  <si>
    <t>EARTHWORK</t>
  </si>
  <si>
    <t>Embankment</t>
  </si>
  <si>
    <t>INCIDENTALS</t>
  </si>
  <si>
    <t>Centerline</t>
  </si>
  <si>
    <t>Improvement</t>
  </si>
  <si>
    <t xml:space="preserve">Width </t>
  </si>
  <si>
    <t>Quantity</t>
  </si>
  <si>
    <t>Unit</t>
  </si>
  <si>
    <t>Cost</t>
  </si>
  <si>
    <t>Signing and Pavement Marking</t>
  </si>
  <si>
    <t>Calculated</t>
  </si>
  <si>
    <t>BENEFIT-COST RATIO</t>
  </si>
  <si>
    <t>PROJECT COST CALCULATOR</t>
  </si>
  <si>
    <t>SPF</t>
  </si>
  <si>
    <t>SAFETY BENEFIT CALCULATOR</t>
  </si>
  <si>
    <t>Value</t>
  </si>
  <si>
    <t>Function</t>
  </si>
  <si>
    <t>Shoulder Width</t>
  </si>
  <si>
    <t>Horizontal Curve</t>
  </si>
  <si>
    <t>Superelevation</t>
  </si>
  <si>
    <t>CMFs Improved</t>
  </si>
  <si>
    <t>Service Life</t>
  </si>
  <si>
    <t>Crash Cost by Severity</t>
  </si>
  <si>
    <t>LANE WIDTH CMF</t>
  </si>
  <si>
    <t>Lane width</t>
  </si>
  <si>
    <t>AADT level</t>
  </si>
  <si>
    <t>CMFra</t>
  </si>
  <si>
    <t>Pra</t>
  </si>
  <si>
    <t>CMF for Total Crashes</t>
  </si>
  <si>
    <t>SHOULDER WIDTH CMF</t>
  </si>
  <si>
    <t>Shoulder width</t>
  </si>
  <si>
    <t>Shoulder type</t>
  </si>
  <si>
    <t>CMFtra</t>
  </si>
  <si>
    <t>CMFwra</t>
  </si>
  <si>
    <t>HORIZONTAL CURVE 2 CMF</t>
  </si>
  <si>
    <t>Length of curve (mi)</t>
  </si>
  <si>
    <t>Radius (ft)</t>
  </si>
  <si>
    <t>Spiral Factor</t>
  </si>
  <si>
    <t>SUPERELEVATION CURVE 1 CMF</t>
  </si>
  <si>
    <t>EXISTING</t>
  </si>
  <si>
    <t>IMPROVED</t>
  </si>
  <si>
    <t>AASHTO superelevation rate</t>
  </si>
  <si>
    <t>Existing superelevation rate</t>
  </si>
  <si>
    <t>Superelevation variance</t>
  </si>
  <si>
    <t>Improved superelevation rate</t>
  </si>
  <si>
    <t>SUPERELEVATION CURVE 2 CMF</t>
  </si>
  <si>
    <t>CENTERLINE RUMBLE STRIP CMF</t>
  </si>
  <si>
    <t>Present</t>
  </si>
  <si>
    <t>SHOULDER RUMBLE STRIP CMF</t>
  </si>
  <si>
    <t>Vr</t>
  </si>
  <si>
    <t>Vd</t>
  </si>
  <si>
    <t>R</t>
  </si>
  <si>
    <t>emax</t>
  </si>
  <si>
    <t>fmax</t>
  </si>
  <si>
    <t>Rmin</t>
  </si>
  <si>
    <t>Rpi</t>
  </si>
  <si>
    <t>hpi</t>
  </si>
  <si>
    <t>S1</t>
  </si>
  <si>
    <t>S2</t>
  </si>
  <si>
    <t>MO</t>
  </si>
  <si>
    <t>1/R</t>
  </si>
  <si>
    <t>1/Rpi</t>
  </si>
  <si>
    <t>f</t>
  </si>
  <si>
    <t>Vd Adj</t>
  </si>
  <si>
    <t>e</t>
  </si>
  <si>
    <t>Alignment Data Option</t>
  </si>
  <si>
    <t>Terrain Options</t>
  </si>
  <si>
    <t>Selected Terrain</t>
  </si>
  <si>
    <t>Rigid</t>
  </si>
  <si>
    <t>Flexible</t>
  </si>
  <si>
    <t>Selected Pavement</t>
  </si>
  <si>
    <t>Curve 4</t>
  </si>
  <si>
    <t>HORIZONTAL CURVE 3 CMF</t>
  </si>
  <si>
    <t>SUPERELEVATION CURVE 3 CMF</t>
  </si>
  <si>
    <t>HORIZONTAL CURVE 4 CMF</t>
  </si>
  <si>
    <t>SUPERELEVATION CURVE 4 CMF</t>
  </si>
  <si>
    <t>Consider?</t>
  </si>
  <si>
    <t>Value Selected</t>
  </si>
  <si>
    <t>Setup Details</t>
  </si>
  <si>
    <t>BENEFIT-COST ANALYSIS OF SAFETY IMPROVEMENTS IN CONJUNCTION WITH 3R PROJECTS ON RURAL TWO-LANE HIGHWAYS</t>
  </si>
  <si>
    <t>ADD</t>
  </si>
  <si>
    <t>DO NOT ADD</t>
  </si>
  <si>
    <t>YES</t>
  </si>
  <si>
    <t>NO</t>
  </si>
  <si>
    <t>Define SPF</t>
  </si>
  <si>
    <t>Roadside Slope</t>
  </si>
  <si>
    <t>Lane Width (ft)</t>
  </si>
  <si>
    <t>Paved Shoulder Width (ft)</t>
  </si>
  <si>
    <t>Unpaved Shoulder Width (ft)</t>
  </si>
  <si>
    <t>Lane Width Selected</t>
  </si>
  <si>
    <t>Paved Shld Width Selected</t>
  </si>
  <si>
    <t>Unpaved Shld Wid Selected</t>
  </si>
  <si>
    <t>1V:2H</t>
  </si>
  <si>
    <t>1V:3H</t>
  </si>
  <si>
    <t>1V:4H</t>
  </si>
  <si>
    <t>1V:6H</t>
  </si>
  <si>
    <t>Yes</t>
  </si>
  <si>
    <t>No</t>
  </si>
  <si>
    <t>CL RS Selected</t>
  </si>
  <si>
    <t>Shld RS Selected</t>
  </si>
  <si>
    <t>*Use this if improving superelevation</t>
  </si>
  <si>
    <t>Section Length (mi)</t>
  </si>
  <si>
    <t>% of Section Length on Curves</t>
  </si>
  <si>
    <t>Number of Curves on Section</t>
  </si>
  <si>
    <t>Spirals Present</t>
  </si>
  <si>
    <t>Presence of Spiral Transitions</t>
  </si>
  <si>
    <t>Number of Curves in Roadway Section</t>
  </si>
  <si>
    <r>
      <t>Maximum Superelevation Rate (e</t>
    </r>
    <r>
      <rPr>
        <sz val="8"/>
        <color theme="1"/>
        <rFont val="Calibri"/>
        <family val="2"/>
        <scheme val="minor"/>
      </rPr>
      <t>max</t>
    </r>
    <r>
      <rPr>
        <sz val="11"/>
        <color theme="1"/>
        <rFont val="Calibri"/>
        <family val="2"/>
        <scheme val="minor"/>
      </rPr>
      <t>)</t>
    </r>
  </si>
  <si>
    <t>Design Speed (mph)</t>
  </si>
  <si>
    <t>Existing e (%)</t>
  </si>
  <si>
    <t>Improved e (%)</t>
  </si>
  <si>
    <t>*total cost minus milling and resurfacing cost for existing traveled way</t>
  </si>
  <si>
    <t>Existing Cross Section</t>
  </si>
  <si>
    <t>Exist Options</t>
  </si>
  <si>
    <t>Imp Options</t>
  </si>
  <si>
    <t>Traveled-way</t>
  </si>
  <si>
    <t>Option</t>
  </si>
  <si>
    <t>All Default</t>
  </si>
  <si>
    <t>Collision with animal</t>
  </si>
  <si>
    <t>Collision with bicycle</t>
  </si>
  <si>
    <t>Collision with pedestrian</t>
  </si>
  <si>
    <t>Overturned</t>
  </si>
  <si>
    <t>Ran off road</t>
  </si>
  <si>
    <t>Other single-vehicle crash</t>
  </si>
  <si>
    <t>Angle collision</t>
  </si>
  <si>
    <t>Head-on collision</t>
  </si>
  <si>
    <t>Rear-end collision</t>
  </si>
  <si>
    <t>Sideswipe collision</t>
  </si>
  <si>
    <t>Other multi-vehicle collision</t>
  </si>
  <si>
    <t>Single-vehicle crashes</t>
  </si>
  <si>
    <t>Multiple-vehicle crashes</t>
  </si>
  <si>
    <t>Total crashes</t>
  </si>
  <si>
    <t>Fatal (K)</t>
  </si>
  <si>
    <t>Disabiling Injury (A)</t>
  </si>
  <si>
    <t>Evident Injury (B)</t>
  </si>
  <si>
    <t xml:space="preserve">Possible Injury (C) </t>
  </si>
  <si>
    <t>Property Damage Only (PDO)</t>
  </si>
  <si>
    <t>Existing Base Depth (in)</t>
  </si>
  <si>
    <t>RUMBLE STRIPS</t>
  </si>
  <si>
    <t>PAVEMENT MARKINGS</t>
  </si>
  <si>
    <t>SUPERELEVATION IMPROVEMENT</t>
  </si>
  <si>
    <t>*Total cost minus milling and resurfacing of existing traveled way</t>
  </si>
  <si>
    <t>ROADSIDE SLOPE CMF</t>
  </si>
  <si>
    <t>Disabling Injury (A)</t>
  </si>
  <si>
    <t>Section Length</t>
  </si>
  <si>
    <t>sq yd</t>
  </si>
  <si>
    <t>cu yd</t>
  </si>
  <si>
    <t>Total Cost</t>
  </si>
  <si>
    <t>Curve 5</t>
  </si>
  <si>
    <t>Curve 6</t>
  </si>
  <si>
    <t>Curve 7</t>
  </si>
  <si>
    <t>Curve 8</t>
  </si>
  <si>
    <t>Curve 9</t>
  </si>
  <si>
    <t>Curve 10</t>
  </si>
  <si>
    <t>HORIZONTAL CURVE 5 CMF</t>
  </si>
  <si>
    <t>SUPERELEVATION CURVE 5 CMF</t>
  </si>
  <si>
    <t>HORIZONTAL CURVE 6 CMF</t>
  </si>
  <si>
    <t>SUPERELEVATION CURVE 6 CMF</t>
  </si>
  <si>
    <t>HORIZONTAL CURVE 7 CMF</t>
  </si>
  <si>
    <t>SUPERELEVATION CURVE 7 CMF</t>
  </si>
  <si>
    <t>HORIZONTAL CURVE 8 CMF</t>
  </si>
  <si>
    <t>SUPERELEVATION CURVE 8 CMF</t>
  </si>
  <si>
    <t>HORIZONTAL CURVE 9 CMF</t>
  </si>
  <si>
    <t>SUPERELEVATION CURVE 9 CMF</t>
  </si>
  <si>
    <t>HORIZONTAL CURVE 10 CMF</t>
  </si>
  <si>
    <t>SUPERELEVATION CURVE 10 CMF</t>
  </si>
  <si>
    <t>ft</t>
  </si>
  <si>
    <t>% of Section with Dashed Centerline</t>
  </si>
  <si>
    <t>% of Section with Solid-Dash Centerline</t>
  </si>
  <si>
    <t>% of Section with Double Solid Centerline</t>
  </si>
  <si>
    <t>Total Length of Section with Delineator Posts (mi)</t>
  </si>
  <si>
    <t>Selected Marking Type</t>
  </si>
  <si>
    <t>Delineators</t>
  </si>
  <si>
    <t>Average Delineator Spacing (ft)</t>
  </si>
  <si>
    <t>Delineator Cost</t>
  </si>
  <si>
    <t>$/LF</t>
  </si>
  <si>
    <t>$/each</t>
  </si>
  <si>
    <t>DELINEATORS</t>
  </si>
  <si>
    <t>each</t>
  </si>
  <si>
    <t>Improvement (Includes Edgeline)</t>
  </si>
  <si>
    <t>Shoulder Rumble Strip Unit Cost</t>
  </si>
  <si>
    <t>Centerline Rumble Strip Unit Cost</t>
  </si>
  <si>
    <t>$/LF (both sides of road included)</t>
  </si>
  <si>
    <t>Unit Cost</t>
  </si>
  <si>
    <t>CMFs Existing</t>
  </si>
  <si>
    <t>VLOOKUPs for CMFs</t>
  </si>
  <si>
    <t>&lt; 400</t>
  </si>
  <si>
    <t>400 to 2000</t>
  </si>
  <si>
    <t>&gt; 2000</t>
  </si>
  <si>
    <t>Shld Width</t>
  </si>
  <si>
    <t>Shld Type</t>
  </si>
  <si>
    <t>Existing</t>
  </si>
  <si>
    <t>Improved</t>
  </si>
  <si>
    <t>Slope</t>
  </si>
  <si>
    <t>STRIPING AND DELINEATION CMF</t>
  </si>
  <si>
    <t>TOTAL ANNUAL BENEFIT</t>
  </si>
  <si>
    <t>AADT (veh/day)</t>
  </si>
  <si>
    <t>ANNUAL SAFETY BENEFIT ($)</t>
  </si>
  <si>
    <t>PRESENT VALUE OF SAFETY BENEFIT ($)</t>
  </si>
  <si>
    <t>NET BENEFIT ($)</t>
  </si>
  <si>
    <t>PW of SUBTOTAL (20 yrs)</t>
  </si>
  <si>
    <t>INITIAL SUBTOTAL</t>
  </si>
  <si>
    <t>INITIAL TOTAL COST</t>
  </si>
  <si>
    <t>PW of TOTAL (20 yrs)</t>
  </si>
  <si>
    <t>PW Cost</t>
  </si>
  <si>
    <t>Initial Cost</t>
  </si>
  <si>
    <t>INITIAL MODIFIED COST*</t>
  </si>
  <si>
    <t>PW of MOD. COST (20 yrs)</t>
  </si>
  <si>
    <t>PV MODIFIED TOTAL COST ($)*</t>
  </si>
  <si>
    <t>Above 2000</t>
  </si>
  <si>
    <t>Below 400</t>
  </si>
  <si>
    <t>Curve 1 Resurfacing</t>
  </si>
  <si>
    <t>Curve 2 Resurfacing</t>
  </si>
  <si>
    <t>Curve 3 Resurfacing</t>
  </si>
  <si>
    <t>Curve 4 Resurfacing</t>
  </si>
  <si>
    <t>Curve 5 Resurfacing</t>
  </si>
  <si>
    <t>Curve 6 Resurfacing</t>
  </si>
  <si>
    <t>Curve 7 Resurfacing</t>
  </si>
  <si>
    <t>Curve 8 Resurfacing</t>
  </si>
  <si>
    <t>Curve 9 Resurfacing</t>
  </si>
  <si>
    <t>Curve 10 Resurfacing</t>
  </si>
  <si>
    <t>Curve Length (mi)</t>
  </si>
  <si>
    <t>Transition Length (mi)</t>
  </si>
  <si>
    <t>Used</t>
  </si>
  <si>
    <t>User Selection</t>
  </si>
  <si>
    <t>Enhanced Striping/Delineation</t>
  </si>
  <si>
    <t>ENHANCED PAVEMENT MARKING AND DELINEATION DATA</t>
  </si>
  <si>
    <t>RESULTS</t>
  </si>
  <si>
    <t>CRASH HISTORY</t>
  </si>
  <si>
    <t>Crash Data Option</t>
  </si>
  <si>
    <t>Consider existing crash history?</t>
  </si>
  <si>
    <t>CRASH DATA</t>
  </si>
  <si>
    <t>Crash History Period (yrs)</t>
  </si>
  <si>
    <t>Total Fatal-and-Injury Crashes</t>
  </si>
  <si>
    <t>Total Property-Damage-Only Crashes</t>
  </si>
  <si>
    <t>Overdispersion</t>
  </si>
  <si>
    <t>Expected Crashes using EB Methodology</t>
  </si>
  <si>
    <t>Weight</t>
  </si>
  <si>
    <t>Predicted Before Total Crashes</t>
  </si>
  <si>
    <t>Expected Before Total Crashes</t>
  </si>
  <si>
    <t>Expected Crash Reduction</t>
  </si>
  <si>
    <t>Mount</t>
  </si>
  <si>
    <t>Alternatives to Consider</t>
  </si>
  <si>
    <t>Curve Data Option</t>
  </si>
  <si>
    <t>SPF Option</t>
  </si>
  <si>
    <t>Crash Type Option</t>
  </si>
  <si>
    <t>Crash Severity Option</t>
  </si>
  <si>
    <t>Alignment Option</t>
  </si>
  <si>
    <t>Number of Curves</t>
  </si>
  <si>
    <t>Divided Option</t>
  </si>
  <si>
    <t>Divided or Undivided</t>
  </si>
  <si>
    <t>BENEFIT-COST ANALYSIS OF SAFETY IMPROVEMENTS IN CONJUNCTION WITH 3R PROJECTS ON RURAL MULTILANE HIGHWAYS</t>
  </si>
  <si>
    <t>Define Undivided SPF</t>
  </si>
  <si>
    <t>Rural 4-lane Undivided SPF</t>
  </si>
  <si>
    <t>Rural 4-lane Divided SPF</t>
  </si>
  <si>
    <t>Undivided Calibration Factor</t>
  </si>
  <si>
    <t>Divided Calibration Factor</t>
  </si>
  <si>
    <t>Rural Multilane Undivided</t>
  </si>
  <si>
    <t>Define Divided SPF</t>
  </si>
  <si>
    <t>Rural Multilane Divided</t>
  </si>
  <si>
    <t>Undivided SPF Option</t>
  </si>
  <si>
    <t>Divided SPF Option</t>
  </si>
  <si>
    <t>4-lane Divided</t>
  </si>
  <si>
    <t>4-lane Undivided</t>
  </si>
  <si>
    <t>Median</t>
  </si>
  <si>
    <t>Divided Cal</t>
  </si>
  <si>
    <t>Divided SPF</t>
  </si>
  <si>
    <t>Rural Multilane Undivided SPF</t>
  </si>
  <si>
    <t>Contents</t>
  </si>
  <si>
    <t>Rural Two-Lane Highways</t>
  </si>
  <si>
    <t>Worksheet Name</t>
  </si>
  <si>
    <t>R2U_Project</t>
  </si>
  <si>
    <t>Description</t>
  </si>
  <si>
    <t>R2U_Setup</t>
  </si>
  <si>
    <t>R2U_Calculations</t>
  </si>
  <si>
    <t>R4UD_Project</t>
  </si>
  <si>
    <t>R4UD_Setup</t>
  </si>
  <si>
    <t>R4UD_Calculations</t>
  </si>
  <si>
    <t>Rural Multilane Highways</t>
  </si>
  <si>
    <t>Set default values for B-C analyses on rural two-lane highways</t>
  </si>
  <si>
    <t>View intermediate calculations and processes</t>
  </si>
  <si>
    <t>Set default values for B-C analyses on rural multilane highways</t>
  </si>
  <si>
    <t>Define project scope and view B-C results</t>
  </si>
  <si>
    <t>Instructions</t>
  </si>
  <si>
    <t>Marking Option</t>
  </si>
  <si>
    <t>Type a formula using MS Excel format into Cell I74.  The formula must be a function of AADT and Length (Cells I70 and I72).  For example, the SPF from the HSM would be written:  =I70*I72*365*10^(-6)*exp(-0.312)</t>
  </si>
  <si>
    <t>Type a formula using MS Excel format into Cell I72.  The formula must be a function of AADT and Length (Cells I70 and I71).  For example, the SPF from the HSM would be written:  =exp(-9.653+1.176*ln(I70)+ln(I71))</t>
  </si>
  <si>
    <t>Type a formula using MS Excel format into Cell I80.  The formula must be a function of AADT and Length (Cells I78 and I79).  For example, the SPF from the HSM would be written:  =exp(-9.025+1.049*ln(I78)+ln(I79))</t>
  </si>
  <si>
    <t>Total</t>
  </si>
  <si>
    <t>Before FI Crashes</t>
  </si>
  <si>
    <t>Before PDO Crashes</t>
  </si>
  <si>
    <t>After FI Crashes</t>
  </si>
  <si>
    <t>After PDO Crashes</t>
  </si>
  <si>
    <t>Reduced FI Crashes</t>
  </si>
  <si>
    <t>Reduced PDO Crashes</t>
  </si>
  <si>
    <t>Shoulder Width (ft)</t>
  </si>
  <si>
    <t>Shoulder Type</t>
  </si>
  <si>
    <t>Paved</t>
  </si>
  <si>
    <t>Unpaved</t>
  </si>
  <si>
    <t>Before</t>
  </si>
  <si>
    <t>After</t>
  </si>
  <si>
    <t>Paved Shld Width</t>
  </si>
  <si>
    <t>Unpaved Shld Width</t>
  </si>
  <si>
    <t>Passing Lanes Option</t>
  </si>
  <si>
    <t>Add Passing Lane(s)</t>
  </si>
  <si>
    <t>PASSING LANE DATA</t>
  </si>
  <si>
    <t>Add New Passing Lane(s)</t>
  </si>
  <si>
    <t>Number of New Passing Lanes in Roadway Section</t>
  </si>
  <si>
    <t>New Length of Overlapping Passing Lanes (mi)</t>
  </si>
  <si>
    <t>New Length of Passing Lanes in Road Section (mi)</t>
  </si>
  <si>
    <t>Add Passing Lanes Option</t>
  </si>
  <si>
    <t>Width of New Passing Lanes (ft)</t>
  </si>
  <si>
    <t>Passing lanes</t>
  </si>
  <si>
    <t># Lanes</t>
  </si>
  <si>
    <t>Speed</t>
  </si>
  <si>
    <t>Ov Length</t>
  </si>
  <si>
    <t>Width</t>
  </si>
  <si>
    <t>Taper Length</t>
  </si>
  <si>
    <t>Full Width Length</t>
  </si>
  <si>
    <t>PASSING LANE CMF</t>
  </si>
  <si>
    <t>% Segment w/ PL</t>
  </si>
  <si>
    <t>% Seg w/ Overlap PL</t>
  </si>
  <si>
    <t>Number of Tapers</t>
  </si>
  <si>
    <t>Passing Lane</t>
  </si>
  <si>
    <t>Existing Shoulder Type</t>
  </si>
  <si>
    <t>Divided</t>
  </si>
  <si>
    <t>Do Not Change</t>
  </si>
  <si>
    <t>Change</t>
  </si>
  <si>
    <t>Non-concentric Curves</t>
  </si>
  <si>
    <t>Concentric Curves</t>
  </si>
  <si>
    <t>Curve Only in Decreasing Milepost Direction</t>
  </si>
  <si>
    <t>Curve Only in Increasing Milepost Direction</t>
  </si>
  <si>
    <t>Median Change Option</t>
  </si>
  <si>
    <t>Ramps Option</t>
  </si>
  <si>
    <t>Outside Barrier Option</t>
  </si>
  <si>
    <t>Median Barrier Option</t>
  </si>
  <si>
    <t>Area Type Option</t>
  </si>
  <si>
    <t>Improve Clear Zone</t>
  </si>
  <si>
    <t>Add/Edit Outside Barrier</t>
  </si>
  <si>
    <t>Add/Edit Median Barrier</t>
  </si>
  <si>
    <t>Edit Median Barrier Option</t>
  </si>
  <si>
    <t>Guardrail</t>
  </si>
  <si>
    <t>Barrier Type</t>
  </si>
  <si>
    <t>Horizontal Clearance (ft)</t>
  </si>
  <si>
    <t>Length of Outside Barrier (mi)</t>
  </si>
  <si>
    <t>New Outside Barrier</t>
  </si>
  <si>
    <t>Length of Inside Barrier (mi)</t>
  </si>
  <si>
    <t>New Length of Outside Barrier (mi)</t>
  </si>
  <si>
    <t>Edit Length of Outside Barrier</t>
  </si>
  <si>
    <t>Outside Barrier</t>
  </si>
  <si>
    <t>Offset Median Barrier</t>
  </si>
  <si>
    <t>Number of Outside Barriers to Add</t>
  </si>
  <si>
    <t>W(near)</t>
  </si>
  <si>
    <t>OUTSIDE BARRIER</t>
  </si>
  <si>
    <t>Number of discontinuous median barriers to add</t>
  </si>
  <si>
    <t>MEDIAN BARRIER CHANGES</t>
  </si>
  <si>
    <t>Outside Rumble Strip</t>
  </si>
  <si>
    <t>Inside Rumble Strip</t>
  </si>
  <si>
    <t>Median Barrier</t>
  </si>
  <si>
    <t>Clear Zone Width (ft)</t>
  </si>
  <si>
    <t>Inside Shoulder Width (ft)</t>
  </si>
  <si>
    <t>Outside Shoulder Width (ft)</t>
  </si>
  <si>
    <t>Consider for Improvement/ Modification</t>
  </si>
  <si>
    <t>Total SV-PDO Crashes</t>
  </si>
  <si>
    <t>Total SV-FI Crashes</t>
  </si>
  <si>
    <t>Total MV-PDO Crashes</t>
  </si>
  <si>
    <t>Total MV-FI Crashes</t>
  </si>
  <si>
    <t>Median Barrier Type</t>
  </si>
  <si>
    <t>Number of Outside Barriers</t>
  </si>
  <si>
    <t>Number of discontinuous median barriers</t>
  </si>
  <si>
    <t>MEDIAN BARRIER</t>
  </si>
  <si>
    <t>% of AADT during high volume</t>
  </si>
  <si>
    <t>Outside Shoulder Rumble Strip</t>
  </si>
  <si>
    <t>Inside Shoulder Rumble Strip</t>
  </si>
  <si>
    <t>Median Slope</t>
  </si>
  <si>
    <t>Median Width (ft)</t>
  </si>
  <si>
    <t>Outside Roadside Slope</t>
  </si>
  <si>
    <t>Curve Radius (ft)</t>
  </si>
  <si>
    <t>Curve Length in Segment (mi)</t>
  </si>
  <si>
    <t>Number of Through Lanes</t>
  </si>
  <si>
    <t>Enter specific curve data</t>
  </si>
  <si>
    <t>Area Type</t>
  </si>
  <si>
    <t>ROADWAY DATA</t>
  </si>
  <si>
    <t>BENEFIT-COST ANALYSIS OF SAFETY IMPROVEMENTS IN CONJUNCTION WITH 3R PROJECTS ON FREEWAYS</t>
  </si>
  <si>
    <t>SDF Calibration Factor</t>
  </si>
  <si>
    <t>Single-vehicle PDO SPF Calibration Factor</t>
  </si>
  <si>
    <t>Single-vehicle FI SPF Calibration Factor</t>
  </si>
  <si>
    <t>Multi-vehicle PDO SPF Calibration Factor</t>
  </si>
  <si>
    <t>Multi-vehicle FI SPF Calibration Factor</t>
  </si>
  <si>
    <t>Concrete Barrier Install</t>
  </si>
  <si>
    <t>Cable Barrier Install</t>
  </si>
  <si>
    <t>Guardrail Install</t>
  </si>
  <si>
    <t>Lighting</t>
  </si>
  <si>
    <t>Urban 10-Lane Freeway</t>
  </si>
  <si>
    <t>Urban 8-Lane Freeway</t>
  </si>
  <si>
    <t>Urban 6-Lane Freeway</t>
  </si>
  <si>
    <t>Urban 4-Lane Freeway</t>
  </si>
  <si>
    <t>Rural 8-Lane Freeway</t>
  </si>
  <si>
    <t>Rural 6-Lane Freeway</t>
  </si>
  <si>
    <t>Rural 4-Lane Freeway</t>
  </si>
  <si>
    <t>Cable Barrier Removal Unit Cost</t>
  </si>
  <si>
    <t>Guardrail Removal Unit Cost</t>
  </si>
  <si>
    <t>Concrete Barrier Unit Cost</t>
  </si>
  <si>
    <t>Cable Barrier Unit Cost</t>
  </si>
  <si>
    <t>Guardrail Unit Cost</t>
  </si>
  <si>
    <t>Right-of-way Unit Cost ($/acre)</t>
  </si>
  <si>
    <t>Expected Crash Reduction, SV-PDO</t>
  </si>
  <si>
    <t>Expected Crash Reduction, SV-C</t>
  </si>
  <si>
    <t>Expected Crash Reduction, SV-B</t>
  </si>
  <si>
    <t>Expected Crash Reduction, SV-A</t>
  </si>
  <si>
    <t>Expected Crash Reduction, SV-K</t>
  </si>
  <si>
    <t>Expected Crash Reduction, SV-FI</t>
  </si>
  <si>
    <t>Expected Crash Reduction, MV-PDO</t>
  </si>
  <si>
    <t>Expected Crash Reduction, MV-C</t>
  </si>
  <si>
    <t>Expected Crash Reduction, MV-B</t>
  </si>
  <si>
    <t>Expected Crash Reduction, MV-A</t>
  </si>
  <si>
    <t>Expected Crash Reduction, MV-K</t>
  </si>
  <si>
    <t>Expected Crash Reduction, MV-FI</t>
  </si>
  <si>
    <t>Expected Before SV-PDO Crashes</t>
  </si>
  <si>
    <t>Expected Before SV-FI Crashes</t>
  </si>
  <si>
    <t>Expected Before MV-PDO Crashes</t>
  </si>
  <si>
    <t>Expected Before MV-FI Crashes</t>
  </si>
  <si>
    <t>SV-PDO Weight</t>
  </si>
  <si>
    <t>SV-FI Weight</t>
  </si>
  <si>
    <t>MV-PDO Weight</t>
  </si>
  <si>
    <t>MV-FI Weight</t>
  </si>
  <si>
    <t>SV-PDO Overdispersion</t>
  </si>
  <si>
    <t>SV-FI Overdispersion</t>
  </si>
  <si>
    <t>MV-PDO Overdispersion</t>
  </si>
  <si>
    <t>MV-FI Overdispersion</t>
  </si>
  <si>
    <t>SV-PDO</t>
  </si>
  <si>
    <t>SV-C</t>
  </si>
  <si>
    <t>SV-B</t>
  </si>
  <si>
    <t>SV-A</t>
  </si>
  <si>
    <t>SV-K</t>
  </si>
  <si>
    <t>SV-FI</t>
  </si>
  <si>
    <t>MV-PDO</t>
  </si>
  <si>
    <t>MV-C</t>
  </si>
  <si>
    <t>MV-B</t>
  </si>
  <si>
    <t>MV-A</t>
  </si>
  <si>
    <t>MV-K</t>
  </si>
  <si>
    <t>MV-FI</t>
  </si>
  <si>
    <t>Predicted Crash Reduction</t>
  </si>
  <si>
    <t>CMF for SV, FI Crashes</t>
  </si>
  <si>
    <t>Outside shld width (ft)</t>
  </si>
  <si>
    <t>Clear zone width (ft)</t>
  </si>
  <si>
    <t>W(ocb)</t>
  </si>
  <si>
    <t>P(ob)</t>
  </si>
  <si>
    <t>Predicted Crash Frequency (Existing)</t>
  </si>
  <si>
    <t xml:space="preserve">SDF </t>
  </si>
  <si>
    <t>OUTSIDE CLEARANCE CMF</t>
  </si>
  <si>
    <t>SPF SV-PDO</t>
  </si>
  <si>
    <t>SPF SV-FI</t>
  </si>
  <si>
    <t>CMF for SV, PDO Crashes</t>
  </si>
  <si>
    <t>SPF MV-PDO</t>
  </si>
  <si>
    <t>SPF MV-FI</t>
  </si>
  <si>
    <t>Calibration Factors</t>
  </si>
  <si>
    <t>P(C,FI)</t>
  </si>
  <si>
    <t>P(B,FI)</t>
  </si>
  <si>
    <t>P(A,FI)</t>
  </si>
  <si>
    <t>OUTSIDE BARRIER CMF</t>
  </si>
  <si>
    <t>P(K,FI)</t>
  </si>
  <si>
    <t>V(B)</t>
  </si>
  <si>
    <t>CMF for MV, PDO Crashes</t>
  </si>
  <si>
    <t>V(A)</t>
  </si>
  <si>
    <t>f(lc,dec,MV-PDO)</t>
  </si>
  <si>
    <t>V(K)</t>
  </si>
  <si>
    <t>Severity Proportions for FI Crashes (Improved)</t>
  </si>
  <si>
    <t>f(lc,inc,MV-PDO)</t>
  </si>
  <si>
    <t>Shoulder Rumble Strip, SV-FI</t>
  </si>
  <si>
    <t>f(wev,dec,MV-PDO)</t>
  </si>
  <si>
    <t>Horizontal Curve, SV-PDO</t>
  </si>
  <si>
    <t>f(wev,inc,MV-PDO)</t>
  </si>
  <si>
    <t>Horizontal Curve, SV-FI</t>
  </si>
  <si>
    <t>CMF for MV, FI Crashes</t>
  </si>
  <si>
    <t>Horizontal Curve, MV-PDO</t>
  </si>
  <si>
    <t>f(lc,dec,MV-FI)</t>
  </si>
  <si>
    <t>Horizontal Curve, MV-FI</t>
  </si>
  <si>
    <t>f(lc,inc,MV-FI)</t>
  </si>
  <si>
    <t>Outside Clearance, SV-FI</t>
  </si>
  <si>
    <t>f(wev,dec,MV-FI)</t>
  </si>
  <si>
    <t>Outside Barrier, SV-PDO</t>
  </si>
  <si>
    <t>f(wev,inc,MV-FI)</t>
  </si>
  <si>
    <t>Outside Barrier, SV-FI</t>
  </si>
  <si>
    <t>Lane Change, MV-PDO</t>
  </si>
  <si>
    <t>LANE CHANGE CMF</t>
  </si>
  <si>
    <t>Lane Change, MV-FI</t>
  </si>
  <si>
    <t>High Volume, SV-PDO</t>
  </si>
  <si>
    <t>High Volume, SV-FI</t>
  </si>
  <si>
    <t>High Volume, MV-PDO</t>
  </si>
  <si>
    <t>High Volume, MV-FI</t>
  </si>
  <si>
    <t>Median Width, SV-PDO</t>
  </si>
  <si>
    <t>P(hv)</t>
  </si>
  <si>
    <t>Median Width, SV-FI</t>
  </si>
  <si>
    <t>Median Width, MV-PDO</t>
  </si>
  <si>
    <t>HIGH VOLUME CMF</t>
  </si>
  <si>
    <t>Median Width, MV-FI</t>
  </si>
  <si>
    <t>Median Barrier, SV-PDO</t>
  </si>
  <si>
    <t>Median Barrier, SV-FI</t>
  </si>
  <si>
    <t>Median Barrier, MV-PDO</t>
  </si>
  <si>
    <t>Median Barrier, MV-FI</t>
  </si>
  <si>
    <t>Outside Shld Width, SV-PDO</t>
  </si>
  <si>
    <t>W(icb)</t>
  </si>
  <si>
    <t>Outside Shld Width, SV-FI</t>
  </si>
  <si>
    <t>P(ib)</t>
  </si>
  <si>
    <t>Inside Shoulder Width, SV-PDO</t>
  </si>
  <si>
    <t>Inside Shoulder Width, SV-FI</t>
  </si>
  <si>
    <t>MEDIAN WIDTH CMF</t>
  </si>
  <si>
    <t>Inside Shoulder Width, MV-PDO</t>
  </si>
  <si>
    <t>Inside Shoulder Width, MV-FI</t>
  </si>
  <si>
    <t>Lane Width, SV-FI</t>
  </si>
  <si>
    <t>Lane Width, MV-FI</t>
  </si>
  <si>
    <t>MEDIAN BARRIER CMF</t>
  </si>
  <si>
    <t>Severity Proportions for FI Crashes (Existing)</t>
  </si>
  <si>
    <t>P(or)</t>
  </si>
  <si>
    <t>P(ir)</t>
  </si>
  <si>
    <t>Concrete Removal</t>
  </si>
  <si>
    <t>f(tan)</t>
  </si>
  <si>
    <t>Cable Removal</t>
  </si>
  <si>
    <t>Pci Sum</t>
  </si>
  <si>
    <t>Guardrail Removal</t>
  </si>
  <si>
    <t>Concrete Additions/Modifications</t>
  </si>
  <si>
    <t>Cable Additions/Modifications</t>
  </si>
  <si>
    <t>Guardrail Additions/Modifications</t>
  </si>
  <si>
    <t>ROADSIDE BARRIER</t>
  </si>
  <si>
    <t>HORIZONTAL CURVE CMF</t>
  </si>
  <si>
    <t>Inside Shoulder</t>
  </si>
  <si>
    <t>Outside Shoulder</t>
  </si>
  <si>
    <t>Median Embankment</t>
  </si>
  <si>
    <t>Roadside Embankment</t>
  </si>
  <si>
    <t>Outside shld width</t>
  </si>
  <si>
    <t>Inside Shoulder Base</t>
  </si>
  <si>
    <t>Inside Shoulder Widening</t>
  </si>
  <si>
    <t>OUTSIDE SHOULDER WIDTH CMF</t>
  </si>
  <si>
    <t>Inside Shoulder Resurfacing</t>
  </si>
  <si>
    <t>Inside Shoulder Milling</t>
  </si>
  <si>
    <t>Outside Shoulder Base</t>
  </si>
  <si>
    <t>Outside Shoulder Widening</t>
  </si>
  <si>
    <t>Outside Shoulder Resurfacing</t>
  </si>
  <si>
    <t>Outside Shoulder Milling</t>
  </si>
  <si>
    <t xml:space="preserve">Inside shoulder width </t>
  </si>
  <si>
    <t>Widening Inside</t>
  </si>
  <si>
    <t>INSIDE SHOULDER WIDTH CMF</t>
  </si>
  <si>
    <t>Widening Outside</t>
  </si>
  <si>
    <t>Effective Length</t>
  </si>
  <si>
    <t>Single-Vehicle PDO Function</t>
  </si>
  <si>
    <t>Single-Vehicle FI Funtion</t>
  </si>
  <si>
    <t>Multi-Vehicle PDO Function</t>
  </si>
  <si>
    <t>Multi-Vehicle FI Funtion</t>
  </si>
  <si>
    <t>Sum(R,P)</t>
  </si>
  <si>
    <t>P(c,i)</t>
  </si>
  <si>
    <t>Radius</t>
  </si>
  <si>
    <t>Curve Length in Segment</t>
  </si>
  <si>
    <t>Curve</t>
  </si>
  <si>
    <t>NOTE: 2 is if ouside barrier is not modified, but takes into account new shoulder width</t>
  </si>
  <si>
    <t>P(ob) after</t>
  </si>
  <si>
    <t>W(ocb) after</t>
  </si>
  <si>
    <t>Concrete</t>
  </si>
  <si>
    <t>Cable</t>
  </si>
  <si>
    <t>Remove?</t>
  </si>
  <si>
    <t>(L/W-W)</t>
  </si>
  <si>
    <t>Add/Mod Length</t>
  </si>
  <si>
    <t>Remove Length</t>
  </si>
  <si>
    <t>Barrier Updates</t>
  </si>
  <si>
    <t>P(ib) after</t>
  </si>
  <si>
    <t>W(icb) after</t>
  </si>
  <si>
    <t>Median Barrier Improvement Options:</t>
  </si>
  <si>
    <t>P(ob) before</t>
  </si>
  <si>
    <t>W(ocb) before</t>
  </si>
  <si>
    <t>(L/W-W(new))</t>
  </si>
  <si>
    <t>P(ib) before</t>
  </si>
  <si>
    <t>W(icb) before</t>
  </si>
  <si>
    <t>Type</t>
  </si>
  <si>
    <t>Ramp</t>
  </si>
  <si>
    <t>Ramp Presence</t>
  </si>
  <si>
    <t>Effective Segment Length</t>
  </si>
  <si>
    <t>Urban</t>
  </si>
  <si>
    <t>Rural</t>
  </si>
  <si>
    <t>Lanes</t>
  </si>
  <si>
    <t>SVPDO-a</t>
  </si>
  <si>
    <t>SVFI-a</t>
  </si>
  <si>
    <t>MVPDO-a</t>
  </si>
  <si>
    <t>MVFI-a</t>
  </si>
  <si>
    <t>SPF Coefficients</t>
  </si>
  <si>
    <t>Num Through Lanes</t>
  </si>
  <si>
    <t>Flat</t>
  </si>
  <si>
    <t>No Median Barrier</t>
  </si>
  <si>
    <t>Discontinuous</t>
  </si>
  <si>
    <t>Continuous, Offset</t>
  </si>
  <si>
    <t>Continuous, Centered</t>
  </si>
  <si>
    <t>Outside Barrier Type</t>
  </si>
  <si>
    <t>Out Shld RS Selected</t>
  </si>
  <si>
    <t>Inside Shld RS Selected</t>
  </si>
  <si>
    <t>Out Shld Rumble Strip</t>
  </si>
  <si>
    <t>Inside Shld Width Selected</t>
  </si>
  <si>
    <t>Outside Shld Width Selected</t>
  </si>
  <si>
    <t>Improved Median Embank H</t>
  </si>
  <si>
    <t>Existing Median Embank H</t>
  </si>
  <si>
    <t>Improved Median Width</t>
  </si>
  <si>
    <t>SDF Calibration</t>
  </si>
  <si>
    <t>SV PDO Calibration</t>
  </si>
  <si>
    <t>SV FI Calibration</t>
  </si>
  <si>
    <t>MV PDO Calibration</t>
  </si>
  <si>
    <t>MV FI Calibration</t>
  </si>
  <si>
    <t>Concrete Barrier Remove</t>
  </si>
  <si>
    <t>Lane and Shld Widening</t>
  </si>
  <si>
    <t>Cable Barrier Remove Unit Cost</t>
  </si>
  <si>
    <t>Guardrail Remove Unit Cost</t>
  </si>
  <si>
    <t>Concrete Barrier</t>
  </si>
  <si>
    <t>U10F</t>
  </si>
  <si>
    <t>U8F</t>
  </si>
  <si>
    <t>U6F</t>
  </si>
  <si>
    <t>U4F</t>
  </si>
  <si>
    <t>R8F</t>
  </si>
  <si>
    <t>R6F</t>
  </si>
  <si>
    <t xml:space="preserve"> </t>
  </si>
  <si>
    <t>R4F</t>
  </si>
  <si>
    <t>Right-of-way Unit Costs</t>
  </si>
  <si>
    <t>Incidental Lookup</t>
  </si>
  <si>
    <t>Clear Zone Width</t>
  </si>
  <si>
    <t>Inside Shoulder Width</t>
  </si>
  <si>
    <t>Outside Shoulder Width</t>
  </si>
  <si>
    <t>Entrance</t>
  </si>
  <si>
    <t>Exit</t>
  </si>
  <si>
    <t>Removed</t>
  </si>
  <si>
    <t>Added</t>
  </si>
  <si>
    <t>Continuous Barriers:</t>
  </si>
  <si>
    <t>Number of Curves in Roadway Section (enter curves separately for each roadbed)</t>
  </si>
  <si>
    <t>Avg Curve</t>
  </si>
  <si>
    <t>Auto Moved</t>
  </si>
  <si>
    <t>Median Barrier Type for Improvement</t>
  </si>
  <si>
    <t>Freeways</t>
  </si>
  <si>
    <t>FWY_Project</t>
  </si>
  <si>
    <t>FWY_Setup</t>
  </si>
  <si>
    <t>FWY_Calculations</t>
  </si>
  <si>
    <t>Durable Pavement Marking Unit Cost</t>
  </si>
  <si>
    <t>*Total cost plus ROW cost minus milling and resurfacing of existing traveled way</t>
  </si>
  <si>
    <t>Include Projected Right-of-Way Cost</t>
  </si>
  <si>
    <t>ROW Cost Inclusion</t>
  </si>
  <si>
    <t>Improved ROW Dist</t>
  </si>
  <si>
    <t>Existing ROW Dist</t>
  </si>
  <si>
    <t>RIGHT-OF-WAY</t>
  </si>
  <si>
    <t xml:space="preserve">Acquisition </t>
  </si>
  <si>
    <t>acre</t>
  </si>
  <si>
    <t>ROW Inclusion</t>
  </si>
  <si>
    <t>ROW Unit Costs</t>
  </si>
  <si>
    <t>(Permanently 2)</t>
  </si>
  <si>
    <t>Cont. Median Barrier Type</t>
  </si>
  <si>
    <t>Calculated value</t>
  </si>
  <si>
    <t>Value that comes from form inputs</t>
  </si>
  <si>
    <t>Values used in drop down menus</t>
  </si>
  <si>
    <t>Roadside Slope Selected</t>
  </si>
  <si>
    <t>CMF</t>
  </si>
  <si>
    <t>Durable Marking Unit Cost</t>
  </si>
  <si>
    <t>ROWS 98 THRU 103</t>
  </si>
  <si>
    <t>NOT USED ANYMORE</t>
  </si>
  <si>
    <t>Concrete Barrier Removal Unit Cost</t>
  </si>
  <si>
    <t>Cont. Med. Barrier Width (ft)</t>
  </si>
  <si>
    <t>Discontinuous Median Barrier</t>
  </si>
  <si>
    <t>New Discontinuous Median Barrier</t>
  </si>
  <si>
    <t>Length of Median Barrier (mi)</t>
  </si>
  <si>
    <t>Edit Length of Median Barrier</t>
  </si>
  <si>
    <t>New Length of Median Barrier (mi)</t>
  </si>
  <si>
    <t>Acquisition  (Includes Pass Lns)</t>
  </si>
  <si>
    <t>Benefit-Cost Analysis of Potential Safety Improvements in Conjunction with 3R Projects</t>
  </si>
  <si>
    <t>Acknowledgements</t>
  </si>
  <si>
    <t>This tool calculates benefit-cost ratios for roadway safety improvements in conjunction with 3R projects. The "Setup" worksheet (tab) should be used to establish default values for projects that are inline with your agency's policies. Once these values are established in the "Setup" worksheet, you only need to revisit the "Setup" worksheet if any default values need to be changed. The "Project" worksheet (tab) is used for each project analysis. The "Calculations" worksheet displays all the intermediate steps in calculating the project cost and safety benefits. A detailed users manual is available in Appendix A of the 3R design guidelines developed in NCHRP Project 15-50.</t>
  </si>
  <si>
    <t>Tool 1: Single Alternative Analysis</t>
  </si>
  <si>
    <t>This tool was developed by MRIGlobal and CH2M Hill as part of NCHRP Project 15-50, "Guidelines for Integrating Safety and Cost-Effectiveness into Resurfacing, Restoration, and Rehabilitation (3R) Projects." The final report of NCHRP Project 15-50 documents the development of this tool. The tool has been developed to complement the 3R design guidelines developed in NCHRP Project 15-50.</t>
  </si>
  <si>
    <t>$/TON</t>
  </si>
  <si>
    <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</si>
</sst>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0.0\ &quot;ft&quot;"/>
    <numFmt numFmtId="165" formatCode="0.0\ &quot;in&quot;"/>
    <numFmt numFmtId="166" formatCode="0.0%"/>
    <numFmt numFmtId="167" formatCode="0\ &quot;ft&quot;"/>
    <numFmt numFmtId="168" formatCode="0.000\ &quot;mi&quot;"/>
    <numFmt numFmtId="169" formatCode="0\ &quot;vpd&quot;"/>
    <numFmt numFmtId="170" formatCode="0\ &quot;mph&quot;"/>
    <numFmt numFmtId="171" formatCode="0\ &quot;yrs&quot;"/>
    <numFmt numFmtId="172" formatCode="&quot;$&quot;\ 0.00"/>
    <numFmt numFmtId="173" formatCode="&quot;$&quot;\ 0,000"/>
    <numFmt numFmtId="174" formatCode="&quot;$&quot;\ 0,000.00"/>
    <numFmt numFmtId="175" formatCode="0.00\ &quot;ft&quot;"/>
    <numFmt numFmtId="176" formatCode="0.000\ &quot;crashes/yr&quot;"/>
    <numFmt numFmtId="177" formatCode="0.0000"/>
    <numFmt numFmtId="178" formatCode="0.000"/>
    <numFmt numFmtId="179" formatCode="&quot;$&quot;#,##0.00"/>
    <numFmt numFmtId="180" formatCode="&quot;$&quot;#,##0"/>
    <numFmt numFmtId="181" formatCode="0.0"/>
  </numFmts>
  <fonts count="14" x14ac:knownFonts="1">
    <font>
      <sz val="11"/>
      <color theme="1"/>
      <name val="Calibri"/>
      <family val="2"/>
      <scheme val="minor"/>
    </font>
    <font>
      <b/>
      <sz val="11"/>
      <color theme="1"/>
      <name val="Calibri"/>
      <family val="2"/>
      <scheme val="minor"/>
    </font>
    <font>
      <sz val="9"/>
      <color theme="1"/>
      <name val="Calibri"/>
      <family val="2"/>
      <scheme val="minor"/>
    </font>
    <font>
      <b/>
      <u/>
      <sz val="11"/>
      <color theme="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6"/>
      <color theme="1"/>
      <name val="Calibri"/>
      <family val="2"/>
      <scheme val="minor"/>
    </font>
    <font>
      <b/>
      <u/>
      <sz val="14"/>
      <color theme="1"/>
      <name val="Calibri"/>
      <family val="2"/>
      <scheme val="minor"/>
    </font>
    <font>
      <b/>
      <sz val="18"/>
      <color theme="1"/>
      <name val="Arial"/>
      <family val="2"/>
    </font>
    <font>
      <u/>
      <sz val="11"/>
      <color theme="1"/>
      <name val="Calibri"/>
      <family val="2"/>
      <scheme val="minor"/>
    </font>
    <font>
      <sz val="11"/>
      <name val="Calibri"/>
      <family val="2"/>
      <scheme val="minor"/>
    </font>
    <font>
      <sz val="11"/>
      <color theme="0" tint="-0.499984740745262"/>
      <name val="Calibri"/>
      <family val="2"/>
      <scheme val="minor"/>
    </font>
    <font>
      <b/>
      <sz val="14"/>
      <color theme="1"/>
      <name val="Arial"/>
      <family val="2"/>
    </font>
  </fonts>
  <fills count="1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0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FF7171"/>
        <bgColor indexed="64"/>
      </patternFill>
    </fill>
    <fill>
      <patternFill patternType="solid">
        <fgColor rgb="FFFFDC6D"/>
        <bgColor indexed="64"/>
      </patternFill>
    </fill>
    <fill>
      <patternFill patternType="lightTrellis"/>
    </fill>
    <fill>
      <patternFill patternType="solid">
        <fgColor indexed="65"/>
        <bgColor indexed="64"/>
      </patternFill>
    </fill>
    <fill>
      <patternFill patternType="solid">
        <fgColor theme="4" tint="0.59999389629810485"/>
        <bgColor indexed="64"/>
      </patternFill>
    </fill>
    <fill>
      <patternFill patternType="gray0625">
        <bgColor theme="0" tint="-0.14996795556505021"/>
      </patternFill>
    </fill>
    <fill>
      <patternFill patternType="solid">
        <fgColor theme="4" tint="0.39997558519241921"/>
        <bgColor indexed="64"/>
      </patternFill>
    </fill>
    <fill>
      <patternFill patternType="gray0625">
        <bgColor theme="0" tint="-0.14993743705557422"/>
      </patternFill>
    </fill>
    <fill>
      <patternFill patternType="darkGray"/>
    </fill>
    <fill>
      <patternFill patternType="solid">
        <fgColor theme="4" tint="0.39994506668294322"/>
        <bgColor indexed="64"/>
      </patternFill>
    </fill>
    <fill>
      <patternFill patternType="solid">
        <fgColor rgb="FFFF00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style="thin">
        <color indexed="64"/>
      </top>
      <bottom style="double">
        <color indexed="64"/>
      </bottom>
      <diagonal/>
    </border>
    <border>
      <left/>
      <right/>
      <top/>
      <bottom style="double">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ck">
        <color indexed="64"/>
      </bottom>
      <diagonal/>
    </border>
    <border>
      <left/>
      <right style="thick">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style="thin">
        <color indexed="64"/>
      </left>
      <right style="thick">
        <color indexed="64"/>
      </right>
      <top style="thin">
        <color indexed="64"/>
      </top>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n">
        <color indexed="64"/>
      </left>
      <right/>
      <top/>
      <bottom style="thick">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bottom/>
      <diagonal/>
    </border>
    <border>
      <left/>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style="thick">
        <color indexed="64"/>
      </bottom>
      <diagonal/>
    </border>
    <border>
      <left/>
      <right/>
      <top style="thick">
        <color indexed="64"/>
      </top>
      <bottom/>
      <diagonal/>
    </border>
    <border>
      <left/>
      <right style="thick">
        <color indexed="64"/>
      </right>
      <top style="thick">
        <color indexed="64"/>
      </top>
      <bottom style="thick">
        <color indexed="64"/>
      </bottom>
      <diagonal/>
    </border>
    <border>
      <left/>
      <right style="thick">
        <color indexed="64"/>
      </right>
      <top style="thick">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n">
        <color auto="1"/>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ck">
        <color indexed="64"/>
      </left>
      <right/>
      <top style="thick">
        <color indexed="64"/>
      </top>
      <bottom/>
      <diagonal/>
    </border>
    <border>
      <left style="thick">
        <color indexed="64"/>
      </left>
      <right style="thick">
        <color indexed="64"/>
      </right>
      <top/>
      <bottom style="thin">
        <color indexed="64"/>
      </bottom>
      <diagonal/>
    </border>
    <border>
      <left style="thin">
        <color indexed="64"/>
      </left>
      <right style="thin">
        <color indexed="64"/>
      </right>
      <top/>
      <bottom style="double">
        <color indexed="64"/>
      </bottom>
      <diagonal/>
    </border>
    <border>
      <left/>
      <right style="thick">
        <color indexed="64"/>
      </right>
      <top/>
      <bottom style="thick">
        <color indexed="64"/>
      </bottom>
      <diagonal/>
    </border>
    <border>
      <left style="thick">
        <color indexed="64"/>
      </left>
      <right style="thick">
        <color indexed="64"/>
      </right>
      <top style="thin">
        <color indexed="64"/>
      </top>
      <bottom/>
      <diagonal/>
    </border>
    <border>
      <left style="thick">
        <color indexed="64"/>
      </left>
      <right/>
      <top style="thick">
        <color indexed="64"/>
      </top>
      <bottom style="thin">
        <color indexed="64"/>
      </bottom>
      <diagonal/>
    </border>
  </borders>
  <cellStyleXfs count="2">
    <xf numFmtId="0" fontId="0" fillId="0" borderId="0"/>
    <xf numFmtId="9" fontId="5" fillId="0" borderId="0" applyFont="0" applyFill="0" applyBorder="0" applyAlignment="0" applyProtection="0"/>
  </cellStyleXfs>
  <cellXfs count="855">
    <xf numFmtId="0" fontId="0" fillId="0" borderId="0" xfId="0"/>
    <xf numFmtId="0" fontId="0" fillId="0" borderId="1" xfId="0" applyBorder="1"/>
    <xf numFmtId="0" fontId="0" fillId="0" borderId="5" xfId="0" applyBorder="1"/>
    <xf numFmtId="0" fontId="0" fillId="0" borderId="4" xfId="0" applyBorder="1"/>
    <xf numFmtId="0" fontId="0" fillId="0" borderId="0" xfId="0" applyBorder="1"/>
    <xf numFmtId="0" fontId="0" fillId="0" borderId="0" xfId="0" applyAlignment="1">
      <alignment horizontal="center"/>
    </xf>
    <xf numFmtId="0" fontId="1" fillId="0" borderId="0" xfId="0" applyFont="1" applyBorder="1"/>
    <xf numFmtId="0" fontId="0" fillId="0" borderId="0" xfId="0" applyFill="1" applyBorder="1"/>
    <xf numFmtId="0" fontId="0" fillId="0" borderId="0" xfId="0" applyBorder="1" applyAlignment="1"/>
    <xf numFmtId="0" fontId="0" fillId="0" borderId="10" xfId="0" applyBorder="1" applyAlignment="1"/>
    <xf numFmtId="0" fontId="0" fillId="0" borderId="10" xfId="0" applyBorder="1"/>
    <xf numFmtId="0" fontId="0" fillId="0" borderId="19" xfId="0" applyBorder="1"/>
    <xf numFmtId="0" fontId="0" fillId="0" borderId="21" xfId="0" applyBorder="1"/>
    <xf numFmtId="0" fontId="0" fillId="4" borderId="1" xfId="0" applyFill="1" applyBorder="1"/>
    <xf numFmtId="0" fontId="0" fillId="7" borderId="1" xfId="0" applyFill="1" applyBorder="1"/>
    <xf numFmtId="0" fontId="0" fillId="7" borderId="1" xfId="0" applyFill="1" applyBorder="1" applyAlignment="1">
      <alignment horizontal="left"/>
    </xf>
    <xf numFmtId="0" fontId="0" fillId="4" borderId="1" xfId="0" applyFill="1" applyBorder="1" applyAlignment="1">
      <alignment horizontal="center"/>
    </xf>
    <xf numFmtId="0" fontId="0" fillId="4" borderId="1" xfId="0" applyFill="1" applyBorder="1" applyAlignment="1">
      <alignment horizontal="center" vertical="center"/>
    </xf>
    <xf numFmtId="0" fontId="1" fillId="4" borderId="1" xfId="0" applyFont="1" applyFill="1" applyBorder="1"/>
    <xf numFmtId="0" fontId="0" fillId="3" borderId="1" xfId="0" applyFill="1" applyBorder="1" applyAlignment="1">
      <alignment horizontal="center"/>
    </xf>
    <xf numFmtId="0" fontId="0" fillId="7" borderId="6" xfId="0" applyFill="1" applyBorder="1"/>
    <xf numFmtId="0" fontId="0" fillId="7" borderId="1" xfId="0" applyFill="1" applyBorder="1" applyAlignment="1"/>
    <xf numFmtId="0" fontId="0" fillId="7" borderId="1" xfId="0" applyFill="1" applyBorder="1" applyAlignment="1">
      <alignment horizontal="left" wrapText="1"/>
    </xf>
    <xf numFmtId="0" fontId="0" fillId="5" borderId="1" xfId="0" applyFill="1" applyBorder="1" applyAlignment="1">
      <alignment horizontal="center"/>
    </xf>
    <xf numFmtId="0" fontId="0" fillId="9" borderId="1" xfId="0" applyFill="1" applyBorder="1" applyAlignment="1">
      <alignment horizontal="center"/>
    </xf>
    <xf numFmtId="0" fontId="0" fillId="0" borderId="1" xfId="0" applyBorder="1" applyProtection="1">
      <protection locked="0"/>
    </xf>
    <xf numFmtId="0" fontId="0" fillId="0" borderId="0" xfId="0" applyFill="1" applyBorder="1" applyAlignment="1"/>
    <xf numFmtId="0" fontId="0" fillId="7" borderId="17" xfId="0" applyFill="1" applyBorder="1"/>
    <xf numFmtId="0" fontId="2" fillId="0" borderId="16" xfId="0" applyFont="1" applyBorder="1" applyAlignment="1">
      <alignment vertical="top"/>
    </xf>
    <xf numFmtId="0" fontId="0" fillId="0" borderId="1" xfId="0" applyBorder="1" applyAlignment="1">
      <alignment horizontal="center" vertical="center"/>
    </xf>
    <xf numFmtId="165" fontId="0" fillId="0" borderId="4" xfId="0" applyNumberFormat="1" applyBorder="1" applyAlignment="1">
      <alignment horizontal="center" vertical="center"/>
    </xf>
    <xf numFmtId="165" fontId="0" fillId="0" borderId="45" xfId="0" applyNumberFormat="1" applyBorder="1" applyAlignment="1">
      <alignment horizontal="center" vertical="center"/>
    </xf>
    <xf numFmtId="0" fontId="0" fillId="0" borderId="1" xfId="0" applyBorder="1" applyAlignment="1">
      <alignment horizontal="center"/>
    </xf>
    <xf numFmtId="0" fontId="0" fillId="4" borderId="48" xfId="0" applyFill="1" applyBorder="1" applyAlignment="1">
      <alignment horizontal="center" vertical="center"/>
    </xf>
    <xf numFmtId="0" fontId="0" fillId="4" borderId="48" xfId="0" applyFill="1" applyBorder="1" applyAlignment="1">
      <alignment horizontal="center" vertical="center" wrapText="1"/>
    </xf>
    <xf numFmtId="0" fontId="0" fillId="4" borderId="31" xfId="0" applyFill="1" applyBorder="1" applyAlignment="1">
      <alignment horizontal="center" vertical="center"/>
    </xf>
    <xf numFmtId="166" fontId="0" fillId="0" borderId="7" xfId="1" applyNumberFormat="1" applyFont="1" applyBorder="1" applyAlignment="1">
      <alignment horizontal="center" vertical="center"/>
    </xf>
    <xf numFmtId="166" fontId="0" fillId="0" borderId="9" xfId="1" applyNumberFormat="1" applyFont="1" applyBorder="1" applyAlignment="1">
      <alignment horizontal="center" vertical="center"/>
    </xf>
    <xf numFmtId="0" fontId="0" fillId="4" borderId="53" xfId="0" applyFill="1" applyBorder="1"/>
    <xf numFmtId="0" fontId="0" fillId="0" borderId="50" xfId="0" applyBorder="1"/>
    <xf numFmtId="0" fontId="0" fillId="0" borderId="42" xfId="0" applyBorder="1"/>
    <xf numFmtId="0" fontId="0" fillId="0" borderId="43" xfId="0" applyBorder="1"/>
    <xf numFmtId="0" fontId="0" fillId="4" borderId="10" xfId="0" applyFill="1" applyBorder="1"/>
    <xf numFmtId="9" fontId="0" fillId="0" borderId="31" xfId="1" applyFont="1" applyBorder="1" applyAlignment="1">
      <alignment horizontal="center" vertical="center"/>
    </xf>
    <xf numFmtId="0" fontId="0" fillId="4" borderId="4" xfId="0" applyFill="1" applyBorder="1" applyAlignment="1">
      <alignment horizontal="left"/>
    </xf>
    <xf numFmtId="2" fontId="0" fillId="0" borderId="45" xfId="0" applyNumberFormat="1" applyBorder="1" applyAlignment="1">
      <alignment horizontal="center" vertical="center"/>
    </xf>
    <xf numFmtId="0" fontId="0" fillId="4" borderId="58" xfId="0" applyFill="1" applyBorder="1"/>
    <xf numFmtId="166" fontId="0" fillId="0" borderId="4" xfId="1" applyNumberFormat="1" applyFont="1" applyBorder="1" applyAlignment="1">
      <alignment horizontal="center" vertical="center"/>
    </xf>
    <xf numFmtId="166" fontId="0" fillId="4" borderId="54" xfId="1" applyNumberFormat="1" applyFont="1" applyFill="1" applyBorder="1" applyAlignment="1">
      <alignment horizontal="center" vertical="center"/>
    </xf>
    <xf numFmtId="0" fontId="1" fillId="4" borderId="66" xfId="0" applyFont="1" applyFill="1" applyBorder="1"/>
    <xf numFmtId="166" fontId="0" fillId="4" borderId="50" xfId="1" applyNumberFormat="1" applyFont="1" applyFill="1" applyBorder="1" applyAlignment="1">
      <alignment horizontal="center" vertical="center"/>
    </xf>
    <xf numFmtId="166" fontId="0" fillId="4" borderId="58" xfId="1" applyNumberFormat="1" applyFont="1" applyFill="1" applyBorder="1" applyAlignment="1">
      <alignment horizontal="left" vertical="center"/>
    </xf>
    <xf numFmtId="0" fontId="0" fillId="4" borderId="70" xfId="0" applyFill="1" applyBorder="1" applyAlignment="1">
      <alignment horizontal="center"/>
    </xf>
    <xf numFmtId="0" fontId="0" fillId="4" borderId="39" xfId="0" applyFill="1" applyBorder="1" applyAlignment="1">
      <alignment horizontal="center"/>
    </xf>
    <xf numFmtId="0" fontId="0" fillId="4" borderId="65" xfId="0" applyFill="1" applyBorder="1"/>
    <xf numFmtId="0" fontId="0" fillId="0" borderId="45" xfId="0" applyBorder="1" applyAlignment="1">
      <alignment horizontal="center" vertical="center"/>
    </xf>
    <xf numFmtId="49" fontId="0" fillId="0" borderId="43" xfId="0" applyNumberFormat="1" applyBorder="1" applyAlignment="1">
      <alignment horizontal="left" vertical="center"/>
    </xf>
    <xf numFmtId="167" fontId="0" fillId="0" borderId="0" xfId="0" applyNumberFormat="1"/>
    <xf numFmtId="10" fontId="0" fillId="0" borderId="1" xfId="1" applyNumberFormat="1" applyFont="1" applyBorder="1" applyAlignment="1" applyProtection="1">
      <alignment horizontal="center"/>
      <protection locked="0"/>
    </xf>
    <xf numFmtId="167"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66" fontId="0" fillId="0" borderId="1" xfId="1" applyNumberFormat="1" applyFont="1" applyBorder="1"/>
    <xf numFmtId="171" fontId="0" fillId="0" borderId="4" xfId="0" applyNumberFormat="1" applyBorder="1" applyAlignment="1">
      <alignment horizontal="center" vertical="center"/>
    </xf>
    <xf numFmtId="171" fontId="0" fillId="0" borderId="63" xfId="0" applyNumberFormat="1" applyBorder="1" applyAlignment="1">
      <alignment horizontal="center" vertical="center"/>
    </xf>
    <xf numFmtId="172" fontId="0" fillId="0" borderId="31" xfId="0" applyNumberFormat="1" applyBorder="1" applyAlignment="1">
      <alignment horizontal="center" vertical="center"/>
    </xf>
    <xf numFmtId="172" fontId="0" fillId="0" borderId="48" xfId="0" applyNumberFormat="1" applyBorder="1" applyAlignment="1">
      <alignment horizontal="center" vertical="center"/>
    </xf>
    <xf numFmtId="0" fontId="0" fillId="10" borderId="1" xfId="0" applyFill="1" applyBorder="1" applyAlignment="1">
      <alignment horizontal="center"/>
    </xf>
    <xf numFmtId="0" fontId="0" fillId="4" borderId="1" xfId="0" applyFill="1" applyBorder="1" applyAlignment="1">
      <alignment horizontal="center" wrapText="1"/>
    </xf>
    <xf numFmtId="0" fontId="0" fillId="0" borderId="1" xfId="0" applyNumberFormat="1" applyBorder="1" applyAlignment="1">
      <alignment horizontal="center"/>
    </xf>
    <xf numFmtId="175" fontId="0" fillId="0" borderId="1" xfId="0" applyNumberFormat="1" applyBorder="1" applyAlignment="1">
      <alignment horizontal="center"/>
    </xf>
    <xf numFmtId="0" fontId="0" fillId="0" borderId="0" xfId="0" applyAlignment="1">
      <alignment horizontal="center" vertical="center"/>
    </xf>
    <xf numFmtId="176" fontId="0" fillId="0" borderId="1" xfId="0" applyNumberFormat="1" applyBorder="1" applyAlignment="1">
      <alignment horizontal="center" vertical="center"/>
    </xf>
    <xf numFmtId="168" fontId="0" fillId="0" borderId="1" xfId="0" applyNumberFormat="1" applyBorder="1" applyAlignment="1">
      <alignment horizontal="center" vertical="center"/>
    </xf>
    <xf numFmtId="169" fontId="0" fillId="0" borderId="1" xfId="0" applyNumberFormat="1" applyBorder="1" applyAlignment="1">
      <alignment horizontal="center" vertical="center"/>
    </xf>
    <xf numFmtId="10" fontId="0" fillId="0" borderId="1" xfId="1" applyNumberFormat="1" applyFont="1" applyBorder="1" applyAlignment="1">
      <alignment horizontal="center" vertical="center"/>
    </xf>
    <xf numFmtId="171"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7" fontId="0" fillId="0" borderId="1" xfId="0" applyNumberFormat="1" applyBorder="1"/>
    <xf numFmtId="169" fontId="0" fillId="0" borderId="1" xfId="0" applyNumberFormat="1" applyBorder="1"/>
    <xf numFmtId="2" fontId="0" fillId="0" borderId="1" xfId="0" applyNumberFormat="1" applyBorder="1"/>
    <xf numFmtId="2" fontId="0" fillId="2" borderId="1" xfId="0" applyNumberFormat="1" applyFill="1" applyBorder="1"/>
    <xf numFmtId="168" fontId="0" fillId="0" borderId="1" xfId="0" applyNumberFormat="1" applyBorder="1"/>
    <xf numFmtId="175" fontId="0" fillId="0" borderId="1" xfId="0" applyNumberFormat="1" applyBorder="1"/>
    <xf numFmtId="168"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6" fontId="0" fillId="0" borderId="1" xfId="1" applyNumberFormat="1" applyFont="1" applyBorder="1" applyAlignment="1" applyProtection="1">
      <alignment horizontal="center" vertical="center"/>
      <protection locked="0"/>
    </xf>
    <xf numFmtId="0" fontId="0" fillId="0" borderId="1" xfId="0" applyFill="1" applyBorder="1" applyAlignment="1">
      <alignment horizontal="center" vertical="center"/>
    </xf>
    <xf numFmtId="175" fontId="0" fillId="0" borderId="1" xfId="0" applyNumberFormat="1" applyBorder="1" applyAlignment="1" applyProtection="1">
      <alignment horizontal="center" vertical="center"/>
      <protection locked="0"/>
    </xf>
    <xf numFmtId="2" fontId="0" fillId="0" borderId="0" xfId="0" applyNumberFormat="1"/>
    <xf numFmtId="165" fontId="0" fillId="0" borderId="42" xfId="0" applyNumberFormat="1" applyBorder="1" applyAlignment="1" applyProtection="1">
      <alignment horizontal="center" vertical="center"/>
      <protection locked="0"/>
    </xf>
    <xf numFmtId="165" fontId="0" fillId="0" borderId="43" xfId="0" applyNumberFormat="1" applyBorder="1" applyAlignment="1" applyProtection="1">
      <alignment horizontal="center" vertical="center"/>
      <protection locked="0"/>
    </xf>
    <xf numFmtId="172" fontId="0" fillId="0" borderId="32" xfId="0" applyNumberFormat="1" applyBorder="1" applyAlignment="1" applyProtection="1">
      <alignment horizontal="center" vertical="center"/>
      <protection locked="0"/>
    </xf>
    <xf numFmtId="173" fontId="0" fillId="0" borderId="32" xfId="0" applyNumberFormat="1" applyBorder="1" applyAlignment="1" applyProtection="1">
      <alignment horizontal="center" vertical="center"/>
      <protection locked="0"/>
    </xf>
    <xf numFmtId="166" fontId="0" fillId="0" borderId="33" xfId="1" applyNumberFormat="1" applyFont="1" applyBorder="1" applyAlignment="1" applyProtection="1">
      <alignment horizontal="center" vertical="center"/>
      <protection locked="0"/>
    </xf>
    <xf numFmtId="166" fontId="0" fillId="0" borderId="34" xfId="1" applyNumberFormat="1" applyFont="1" applyBorder="1" applyAlignment="1" applyProtection="1">
      <alignment horizontal="center" vertical="center"/>
      <protection locked="0"/>
    </xf>
    <xf numFmtId="9" fontId="0" fillId="0" borderId="32" xfId="1" applyFont="1" applyBorder="1" applyAlignment="1" applyProtection="1">
      <alignment horizontal="center" vertical="center"/>
      <protection locked="0"/>
    </xf>
    <xf numFmtId="2" fontId="0" fillId="0" borderId="43" xfId="0" applyNumberFormat="1" applyBorder="1" applyAlignment="1" applyProtection="1">
      <alignment horizontal="center" vertical="center"/>
      <protection locked="0"/>
    </xf>
    <xf numFmtId="166" fontId="0" fillId="0" borderId="42" xfId="1" applyNumberFormat="1" applyFont="1" applyBorder="1" applyAlignment="1" applyProtection="1">
      <alignment horizontal="center" vertical="center"/>
      <protection locked="0"/>
    </xf>
    <xf numFmtId="166" fontId="0" fillId="0" borderId="47" xfId="1" applyNumberFormat="1" applyFont="1" applyBorder="1" applyAlignment="1" applyProtection="1">
      <alignment horizontal="center" vertical="center"/>
      <protection locked="0"/>
    </xf>
    <xf numFmtId="175" fontId="0" fillId="10" borderId="1" xfId="0" applyNumberFormat="1" applyFill="1" applyBorder="1" applyAlignment="1">
      <alignment horizontal="center"/>
    </xf>
    <xf numFmtId="2" fontId="0" fillId="0" borderId="1" xfId="0" applyNumberFormat="1" applyBorder="1" applyAlignment="1">
      <alignment horizontal="center"/>
    </xf>
    <xf numFmtId="2" fontId="0" fillId="0" borderId="1" xfId="0" quotePrefix="1" applyNumberFormat="1" applyBorder="1" applyAlignment="1">
      <alignment horizontal="center"/>
    </xf>
    <xf numFmtId="167" fontId="0" fillId="0" borderId="31" xfId="0" applyNumberFormat="1" applyFill="1" applyBorder="1" applyAlignment="1">
      <alignment horizontal="center" vertical="center"/>
    </xf>
    <xf numFmtId="0" fontId="0" fillId="4" borderId="55" xfId="0" applyFill="1" applyBorder="1" applyAlignment="1">
      <alignment horizontal="center" vertical="center" wrapText="1"/>
    </xf>
    <xf numFmtId="0" fontId="0" fillId="4" borderId="31" xfId="0" applyFill="1" applyBorder="1" applyAlignment="1">
      <alignment horizontal="center" vertical="center" wrapText="1"/>
    </xf>
    <xf numFmtId="172" fontId="0" fillId="0" borderId="63" xfId="0" applyNumberFormat="1" applyBorder="1" applyAlignment="1">
      <alignment horizontal="center" vertical="center"/>
    </xf>
    <xf numFmtId="165" fontId="0" fillId="11" borderId="1" xfId="0" applyNumberFormat="1" applyFill="1" applyBorder="1" applyAlignment="1">
      <alignment horizontal="center"/>
    </xf>
    <xf numFmtId="1" fontId="0" fillId="0" borderId="1" xfId="0" applyNumberFormat="1" applyBorder="1" applyAlignment="1">
      <alignment horizontal="center"/>
    </xf>
    <xf numFmtId="173" fontId="0" fillId="0" borderId="31" xfId="0" applyNumberFormat="1" applyBorder="1" applyAlignment="1">
      <alignment horizontal="center" vertical="center"/>
    </xf>
    <xf numFmtId="2" fontId="0" fillId="0" borderId="1" xfId="0" applyNumberFormat="1" applyBorder="1" applyAlignment="1">
      <alignment horizontal="center" vertical="center"/>
    </xf>
    <xf numFmtId="177" fontId="0" fillId="2" borderId="1" xfId="0" applyNumberFormat="1" applyFill="1" applyBorder="1"/>
    <xf numFmtId="0" fontId="0" fillId="4" borderId="1" xfId="0" applyFont="1" applyFill="1" applyBorder="1"/>
    <xf numFmtId="2" fontId="0" fillId="0" borderId="1" xfId="0" applyNumberFormat="1" applyFill="1" applyBorder="1"/>
    <xf numFmtId="2" fontId="0" fillId="10" borderId="1" xfId="0" applyNumberFormat="1" applyFill="1" applyBorder="1" applyAlignment="1">
      <alignment horizontal="center" vertical="center"/>
    </xf>
    <xf numFmtId="178" fontId="0" fillId="0" borderId="1" xfId="0" applyNumberFormat="1" applyBorder="1" applyAlignment="1" applyProtection="1">
      <alignment horizontal="center"/>
      <protection locked="0"/>
    </xf>
    <xf numFmtId="0" fontId="0" fillId="0" borderId="73" xfId="0" applyBorder="1"/>
    <xf numFmtId="179" fontId="0" fillId="0" borderId="74" xfId="0" applyNumberFormat="1" applyFill="1" applyBorder="1"/>
    <xf numFmtId="0" fontId="0" fillId="0" borderId="72" xfId="0" applyBorder="1"/>
    <xf numFmtId="178" fontId="0" fillId="0" borderId="19" xfId="0" applyNumberFormat="1" applyBorder="1" applyAlignment="1">
      <alignment horizontal="center"/>
    </xf>
    <xf numFmtId="0" fontId="0" fillId="0" borderId="0" xfId="0" applyNumberFormat="1"/>
    <xf numFmtId="0" fontId="0" fillId="0" borderId="1" xfId="0" applyBorder="1" applyAlignment="1">
      <alignment horizontal="center"/>
    </xf>
    <xf numFmtId="10" fontId="0" fillId="0" borderId="0" xfId="1" applyNumberFormat="1" applyFont="1"/>
    <xf numFmtId="0" fontId="1" fillId="0" borderId="0" xfId="0" applyFont="1" applyFill="1" applyBorder="1"/>
    <xf numFmtId="2" fontId="0" fillId="0" borderId="0" xfId="0" applyNumberFormat="1" applyFill="1" applyBorder="1"/>
    <xf numFmtId="0" fontId="0" fillId="0" borderId="75" xfId="0" applyBorder="1"/>
    <xf numFmtId="2" fontId="0" fillId="0" borderId="1" xfId="0" applyNumberFormat="1" applyFill="1" applyBorder="1" applyAlignment="1">
      <alignment horizontal="center" vertical="center"/>
    </xf>
    <xf numFmtId="166" fontId="0" fillId="0" borderId="3" xfId="1" applyNumberFormat="1" applyFont="1" applyBorder="1" applyAlignment="1" applyProtection="1">
      <alignment horizontal="center" vertical="center"/>
      <protection locked="0"/>
    </xf>
    <xf numFmtId="0" fontId="0" fillId="0" borderId="3" xfId="0" applyBorder="1" applyAlignment="1">
      <alignment horizontal="center" vertical="center"/>
    </xf>
    <xf numFmtId="0" fontId="0" fillId="0" borderId="0" xfId="0" applyFill="1" applyBorder="1" applyAlignment="1" applyProtection="1">
      <alignment vertical="center"/>
      <protection locked="0"/>
    </xf>
    <xf numFmtId="0" fontId="0" fillId="0" borderId="0" xfId="0" applyFill="1" applyBorder="1" applyProtection="1">
      <protection locked="0"/>
    </xf>
    <xf numFmtId="0" fontId="0" fillId="0" borderId="72" xfId="0" applyFill="1" applyBorder="1"/>
    <xf numFmtId="164" fontId="0" fillId="5" borderId="40" xfId="0" applyNumberFormat="1" applyFill="1" applyBorder="1" applyAlignment="1">
      <alignment horizontal="center" vertical="center"/>
    </xf>
    <xf numFmtId="164" fontId="0" fillId="5" borderId="37" xfId="0" applyNumberFormat="1" applyFill="1" applyBorder="1" applyAlignment="1">
      <alignment horizontal="center" vertical="center"/>
    </xf>
    <xf numFmtId="165" fontId="0" fillId="5" borderId="36" xfId="0" applyNumberFormat="1" applyFill="1" applyBorder="1" applyAlignment="1">
      <alignment horizontal="center" vertical="center"/>
    </xf>
    <xf numFmtId="165" fontId="0" fillId="5" borderId="37" xfId="0" applyNumberFormat="1" applyFill="1" applyBorder="1" applyAlignment="1">
      <alignment horizontal="center" vertical="center"/>
    </xf>
    <xf numFmtId="165" fontId="0" fillId="5" borderId="38" xfId="0" applyNumberFormat="1" applyFill="1" applyBorder="1" applyAlignment="1">
      <alignment horizontal="center" vertical="center"/>
    </xf>
    <xf numFmtId="167" fontId="0" fillId="5" borderId="51" xfId="0" applyNumberFormat="1" applyFill="1" applyBorder="1" applyAlignment="1">
      <alignment horizontal="center" vertical="center"/>
    </xf>
    <xf numFmtId="172" fontId="0" fillId="0" borderId="50" xfId="0" applyNumberFormat="1" applyBorder="1" applyAlignment="1" applyProtection="1">
      <alignment horizontal="center" vertical="center"/>
      <protection locked="0"/>
    </xf>
    <xf numFmtId="172" fontId="0" fillId="5" borderId="51" xfId="0" applyNumberFormat="1" applyFill="1" applyBorder="1" applyAlignment="1">
      <alignment horizontal="center" vertical="center"/>
    </xf>
    <xf numFmtId="172" fontId="0" fillId="5" borderId="56" xfId="0" applyNumberFormat="1" applyFill="1" applyBorder="1" applyAlignment="1">
      <alignment horizontal="center" vertical="center"/>
    </xf>
    <xf numFmtId="173" fontId="0" fillId="5" borderId="56" xfId="0" applyNumberFormat="1" applyFill="1" applyBorder="1" applyAlignment="1">
      <alignment horizontal="center" vertical="center"/>
    </xf>
    <xf numFmtId="166" fontId="0" fillId="5" borderId="40" xfId="1" applyNumberFormat="1" applyFont="1" applyFill="1" applyBorder="1" applyAlignment="1">
      <alignment horizontal="center" vertical="center"/>
    </xf>
    <xf numFmtId="166" fontId="0" fillId="5" borderId="56" xfId="1" applyNumberFormat="1" applyFont="1" applyFill="1" applyBorder="1" applyAlignment="1">
      <alignment horizontal="center" vertical="center"/>
    </xf>
    <xf numFmtId="9" fontId="0" fillId="5" borderId="61" xfId="1" applyFont="1" applyFill="1" applyBorder="1" applyAlignment="1">
      <alignment horizontal="center" vertical="center"/>
    </xf>
    <xf numFmtId="171" fontId="0" fillId="5" borderId="58" xfId="0" applyNumberFormat="1" applyFill="1" applyBorder="1" applyAlignment="1">
      <alignment horizontal="center" vertical="center"/>
    </xf>
    <xf numFmtId="173" fontId="0" fillId="5" borderId="40" xfId="0" applyNumberFormat="1" applyFill="1" applyBorder="1" applyAlignment="1">
      <alignment horizontal="center" vertical="center"/>
    </xf>
    <xf numFmtId="173" fontId="0" fillId="5" borderId="67" xfId="0" applyNumberFormat="1" applyFill="1" applyBorder="1" applyAlignment="1">
      <alignment horizontal="center" vertical="center"/>
    </xf>
    <xf numFmtId="172" fontId="0" fillId="0" borderId="49" xfId="0" applyNumberFormat="1" applyBorder="1" applyAlignment="1" applyProtection="1">
      <alignment horizontal="center" vertical="center"/>
      <protection locked="0"/>
    </xf>
    <xf numFmtId="0" fontId="0" fillId="12" borderId="34" xfId="0" applyFill="1" applyBorder="1"/>
    <xf numFmtId="0" fontId="0" fillId="12" borderId="35" xfId="0" applyFill="1" applyBorder="1"/>
    <xf numFmtId="0" fontId="0" fillId="12" borderId="33" xfId="0" applyFill="1" applyBorder="1"/>
    <xf numFmtId="0" fontId="0" fillId="13" borderId="39" xfId="0" applyFill="1" applyBorder="1"/>
    <xf numFmtId="0" fontId="0" fillId="13" borderId="61" xfId="0" applyFill="1" applyBorder="1"/>
    <xf numFmtId="164" fontId="0" fillId="13" borderId="61" xfId="0" applyNumberFormat="1" applyFill="1" applyBorder="1" applyAlignment="1">
      <alignment horizontal="center" vertical="center"/>
    </xf>
    <xf numFmtId="164" fontId="0" fillId="13" borderId="61" xfId="0" applyNumberFormat="1" applyFill="1" applyBorder="1" applyAlignment="1" applyProtection="1">
      <alignment horizontal="center" vertical="center"/>
      <protection locked="0"/>
    </xf>
    <xf numFmtId="0" fontId="0" fillId="13" borderId="61" xfId="0" applyFill="1" applyBorder="1" applyAlignment="1">
      <alignment horizontal="center" vertical="center"/>
    </xf>
    <xf numFmtId="165" fontId="0" fillId="13" borderId="61" xfId="0" applyNumberFormat="1" applyFill="1" applyBorder="1" applyAlignment="1">
      <alignment horizontal="center" vertical="center"/>
    </xf>
    <xf numFmtId="165" fontId="0" fillId="13" borderId="61" xfId="0" applyNumberFormat="1" applyFill="1" applyBorder="1" applyAlignment="1" applyProtection="1">
      <alignment horizontal="center" vertical="center"/>
      <protection locked="0"/>
    </xf>
    <xf numFmtId="0" fontId="0" fillId="13" borderId="61" xfId="0" applyFill="1" applyBorder="1" applyAlignment="1">
      <alignment horizontal="center" vertical="center" wrapText="1"/>
    </xf>
    <xf numFmtId="165" fontId="0" fillId="13" borderId="39" xfId="0" applyNumberFormat="1" applyFill="1" applyBorder="1" applyAlignment="1">
      <alignment horizontal="center" vertical="center"/>
    </xf>
    <xf numFmtId="0" fontId="0" fillId="13" borderId="64" xfId="0" applyFill="1" applyBorder="1"/>
    <xf numFmtId="0" fontId="0" fillId="13" borderId="0" xfId="0" applyFill="1" applyBorder="1" applyAlignment="1">
      <alignment horizontal="left" vertical="center"/>
    </xf>
    <xf numFmtId="172" fontId="0" fillId="13" borderId="0" xfId="0" applyNumberFormat="1" applyFill="1" applyBorder="1" applyAlignment="1">
      <alignment horizontal="center" vertical="center"/>
    </xf>
    <xf numFmtId="172" fontId="0" fillId="13" borderId="0" xfId="0" applyNumberFormat="1" applyFill="1" applyBorder="1" applyAlignment="1" applyProtection="1">
      <alignment horizontal="center" vertical="center"/>
      <protection locked="0"/>
    </xf>
    <xf numFmtId="0" fontId="0" fillId="13" borderId="0" xfId="0" applyFill="1" applyBorder="1" applyAlignment="1">
      <alignment horizontal="left"/>
    </xf>
    <xf numFmtId="0" fontId="0" fillId="13" borderId="39" xfId="0" applyFill="1" applyBorder="1" applyAlignment="1">
      <alignment horizontal="left"/>
    </xf>
    <xf numFmtId="172" fontId="0" fillId="13" borderId="39" xfId="0" applyNumberFormat="1" applyFill="1" applyBorder="1" applyAlignment="1">
      <alignment horizontal="center" vertical="center"/>
    </xf>
    <xf numFmtId="172" fontId="0" fillId="13" borderId="39" xfId="0" applyNumberFormat="1" applyFill="1" applyBorder="1" applyAlignment="1" applyProtection="1">
      <alignment horizontal="center" vertical="center"/>
      <protection locked="0"/>
    </xf>
    <xf numFmtId="0" fontId="0" fillId="13" borderId="61" xfId="0" applyFill="1" applyBorder="1" applyAlignment="1">
      <alignment horizontal="left"/>
    </xf>
    <xf numFmtId="172" fontId="0" fillId="13" borderId="61" xfId="0" applyNumberFormat="1" applyFill="1" applyBorder="1" applyAlignment="1">
      <alignment horizontal="center" vertical="center"/>
    </xf>
    <xf numFmtId="172" fontId="0" fillId="13" borderId="61" xfId="0" applyNumberFormat="1" applyFill="1" applyBorder="1" applyAlignment="1" applyProtection="1">
      <alignment horizontal="center" vertical="center"/>
      <protection locked="0"/>
    </xf>
    <xf numFmtId="173" fontId="0" fillId="13" borderId="61" xfId="0" applyNumberFormat="1" applyFill="1" applyBorder="1" applyAlignment="1">
      <alignment horizontal="center" vertical="center"/>
    </xf>
    <xf numFmtId="173" fontId="0" fillId="13" borderId="61" xfId="0" applyNumberFormat="1" applyFill="1" applyBorder="1" applyAlignment="1" applyProtection="1">
      <alignment horizontal="center" vertical="center"/>
      <protection locked="0"/>
    </xf>
    <xf numFmtId="0" fontId="0" fillId="13" borderId="64" xfId="0" applyFill="1" applyBorder="1" applyAlignment="1">
      <alignment horizontal="left"/>
    </xf>
    <xf numFmtId="0" fontId="0" fillId="13" borderId="64" xfId="0" applyFill="1" applyBorder="1" applyAlignment="1">
      <alignment horizontal="left" vertical="center" wrapText="1"/>
    </xf>
    <xf numFmtId="166" fontId="0" fillId="13" borderId="61" xfId="1" applyNumberFormat="1" applyFont="1" applyFill="1" applyBorder="1" applyAlignment="1">
      <alignment horizontal="center" vertical="center"/>
    </xf>
    <xf numFmtId="166" fontId="0" fillId="13" borderId="61" xfId="1" applyNumberFormat="1" applyFont="1" applyFill="1" applyBorder="1" applyAlignment="1" applyProtection="1">
      <alignment horizontal="center" vertical="center"/>
      <protection locked="0"/>
    </xf>
    <xf numFmtId="9" fontId="0" fillId="13" borderId="64" xfId="1" applyFont="1" applyFill="1" applyBorder="1" applyAlignment="1">
      <alignment horizontal="center" vertical="center"/>
    </xf>
    <xf numFmtId="9" fontId="0" fillId="13" borderId="61" xfId="1" applyFont="1" applyFill="1" applyBorder="1" applyAlignment="1" applyProtection="1">
      <alignment horizontal="center" vertical="center"/>
      <protection locked="0"/>
    </xf>
    <xf numFmtId="171" fontId="0" fillId="13" borderId="61" xfId="0" applyNumberFormat="1" applyFill="1" applyBorder="1" applyAlignment="1">
      <alignment horizontal="center" vertical="center"/>
    </xf>
    <xf numFmtId="0" fontId="0" fillId="12" borderId="32" xfId="0" applyFill="1" applyBorder="1" applyAlignment="1">
      <alignment horizontal="left" vertical="center"/>
    </xf>
    <xf numFmtId="0" fontId="0" fillId="12" borderId="49" xfId="0" applyFill="1" applyBorder="1" applyAlignment="1">
      <alignment horizontal="left"/>
    </xf>
    <xf numFmtId="0" fontId="0" fillId="12" borderId="32" xfId="0" applyFill="1" applyBorder="1" applyAlignment="1">
      <alignment horizontal="left"/>
    </xf>
    <xf numFmtId="0" fontId="0" fillId="12" borderId="50" xfId="0" applyFill="1" applyBorder="1" applyAlignment="1">
      <alignment horizontal="left"/>
    </xf>
    <xf numFmtId="0" fontId="0" fillId="12" borderId="32" xfId="0" applyFill="1" applyBorder="1" applyAlignment="1">
      <alignment horizontal="left" vertical="center" wrapText="1"/>
    </xf>
    <xf numFmtId="0" fontId="0" fillId="12" borderId="64" xfId="0" applyFill="1" applyBorder="1" applyAlignment="1">
      <alignment horizontal="left"/>
    </xf>
    <xf numFmtId="0" fontId="0" fillId="12" borderId="34" xfId="0" applyFill="1" applyBorder="1" applyAlignment="1">
      <alignment horizontal="left"/>
    </xf>
    <xf numFmtId="0" fontId="0" fillId="12" borderId="35" xfId="0" applyFill="1" applyBorder="1" applyAlignment="1">
      <alignment horizontal="left"/>
    </xf>
    <xf numFmtId="0" fontId="0" fillId="12" borderId="41" xfId="0" applyFill="1" applyBorder="1" applyAlignment="1">
      <alignment horizontal="left"/>
    </xf>
    <xf numFmtId="0" fontId="0" fillId="12" borderId="35" xfId="0" applyFill="1" applyBorder="1" applyAlignment="1">
      <alignment horizontal="left" wrapText="1"/>
    </xf>
    <xf numFmtId="0" fontId="0" fillId="12" borderId="47" xfId="0" applyFill="1" applyBorder="1"/>
    <xf numFmtId="0" fontId="0" fillId="12" borderId="42" xfId="0" applyFill="1" applyBorder="1"/>
    <xf numFmtId="0" fontId="1" fillId="14" borderId="34" xfId="0" applyFont="1" applyFill="1" applyBorder="1"/>
    <xf numFmtId="0" fontId="0" fillId="14" borderId="11" xfId="0" applyFill="1" applyBorder="1" applyAlignment="1">
      <alignment horizontal="left"/>
    </xf>
    <xf numFmtId="0" fontId="0" fillId="14" borderId="59" xfId="0" applyFill="1" applyBorder="1"/>
    <xf numFmtId="0" fontId="1" fillId="14" borderId="26" xfId="0" applyFont="1" applyFill="1" applyBorder="1"/>
    <xf numFmtId="0" fontId="0" fillId="14" borderId="68" xfId="0" applyFill="1" applyBorder="1" applyAlignment="1">
      <alignment horizontal="center" vertical="center"/>
    </xf>
    <xf numFmtId="0" fontId="0" fillId="14" borderId="8" xfId="0" applyFill="1" applyBorder="1"/>
    <xf numFmtId="0" fontId="1" fillId="14" borderId="35" xfId="0" applyFont="1" applyFill="1" applyBorder="1"/>
    <xf numFmtId="166" fontId="0" fillId="14" borderId="45" xfId="1" applyNumberFormat="1" applyFont="1" applyFill="1" applyBorder="1" applyAlignment="1">
      <alignment horizontal="center" vertical="center"/>
    </xf>
    <xf numFmtId="166" fontId="0" fillId="14" borderId="35" xfId="1" applyNumberFormat="1" applyFont="1" applyFill="1" applyBorder="1" applyAlignment="1">
      <alignment horizontal="center" vertical="center"/>
    </xf>
    <xf numFmtId="166" fontId="0" fillId="14" borderId="46" xfId="1" applyNumberFormat="1" applyFont="1" applyFill="1" applyBorder="1" applyAlignment="1">
      <alignment horizontal="center" vertical="center"/>
    </xf>
    <xf numFmtId="166" fontId="0" fillId="14" borderId="39" xfId="1" applyNumberFormat="1" applyFont="1" applyFill="1" applyBorder="1" applyAlignment="1">
      <alignment horizontal="center" vertical="center"/>
    </xf>
    <xf numFmtId="166" fontId="0" fillId="14" borderId="56" xfId="1" applyNumberFormat="1" applyFont="1" applyFill="1" applyBorder="1" applyAlignment="1">
      <alignment horizontal="center" vertical="center"/>
    </xf>
    <xf numFmtId="0" fontId="0" fillId="5" borderId="69" xfId="0" applyFill="1" applyBorder="1" applyAlignment="1">
      <alignment horizontal="center" vertical="center"/>
    </xf>
    <xf numFmtId="2" fontId="0" fillId="5" borderId="69" xfId="0" applyNumberFormat="1" applyFill="1" applyBorder="1" applyAlignment="1">
      <alignment horizontal="center" vertical="center"/>
    </xf>
    <xf numFmtId="0" fontId="0" fillId="0" borderId="0" xfId="0" applyFill="1"/>
    <xf numFmtId="0" fontId="1" fillId="13" borderId="0" xfId="0" applyFont="1" applyFill="1" applyBorder="1"/>
    <xf numFmtId="166" fontId="0" fillId="13" borderId="0" xfId="1" applyNumberFormat="1" applyFont="1" applyFill="1" applyBorder="1" applyAlignment="1">
      <alignment horizontal="center" vertical="center"/>
    </xf>
    <xf numFmtId="0" fontId="0" fillId="13" borderId="61" xfId="0" applyFill="1" applyBorder="1" applyAlignment="1">
      <alignment horizontal="center"/>
    </xf>
    <xf numFmtId="2" fontId="0" fillId="13" borderId="61" xfId="0" applyNumberFormat="1" applyFill="1" applyBorder="1" applyAlignment="1">
      <alignment horizontal="center" vertical="center"/>
    </xf>
    <xf numFmtId="2" fontId="0" fillId="13" borderId="61" xfId="0" applyNumberFormat="1" applyFill="1" applyBorder="1" applyAlignment="1" applyProtection="1">
      <alignment horizontal="center" vertical="center"/>
      <protection locked="0"/>
    </xf>
    <xf numFmtId="0" fontId="0" fillId="13" borderId="39" xfId="0" applyFill="1" applyBorder="1" applyAlignment="1">
      <alignment horizontal="center"/>
    </xf>
    <xf numFmtId="49" fontId="0" fillId="13" borderId="39" xfId="0" applyNumberFormat="1" applyFill="1" applyBorder="1" applyAlignment="1">
      <alignment horizontal="left" vertical="center"/>
    </xf>
    <xf numFmtId="166" fontId="0" fillId="14" borderId="40" xfId="1" applyNumberFormat="1" applyFont="1" applyFill="1" applyBorder="1" applyAlignment="1">
      <alignment horizontal="center" vertical="center"/>
    </xf>
    <xf numFmtId="0" fontId="0" fillId="0" borderId="0" xfId="0" applyFont="1" applyBorder="1" applyAlignment="1"/>
    <xf numFmtId="0" fontId="6" fillId="0" borderId="0" xfId="0" applyFont="1" applyBorder="1" applyAlignment="1"/>
    <xf numFmtId="180" fontId="0" fillId="0" borderId="23" xfId="0" applyNumberFormat="1" applyBorder="1" applyAlignment="1">
      <alignment horizontal="center"/>
    </xf>
    <xf numFmtId="0" fontId="0" fillId="4" borderId="7" xfId="0" applyFill="1" applyBorder="1" applyAlignment="1">
      <alignment horizontal="center" vertical="center"/>
    </xf>
    <xf numFmtId="0" fontId="0" fillId="4" borderId="28" xfId="0" applyFill="1" applyBorder="1" applyAlignment="1">
      <alignment horizontal="center" vertical="center"/>
    </xf>
    <xf numFmtId="0" fontId="0" fillId="0" borderId="4" xfId="0" applyBorder="1" applyAlignment="1"/>
    <xf numFmtId="0" fontId="0" fillId="0" borderId="5" xfId="0" applyFill="1" applyBorder="1" applyAlignment="1">
      <alignment horizontal="center"/>
    </xf>
    <xf numFmtId="10" fontId="0" fillId="0" borderId="5" xfId="1" applyNumberFormat="1" applyFont="1" applyBorder="1" applyAlignment="1" applyProtection="1">
      <alignment horizontal="center"/>
      <protection locked="0"/>
    </xf>
    <xf numFmtId="167" fontId="0" fillId="0" borderId="5" xfId="0" applyNumberFormat="1" applyBorder="1" applyAlignment="1" applyProtection="1">
      <alignment horizontal="center"/>
      <protection locked="0"/>
    </xf>
    <xf numFmtId="1" fontId="0" fillId="0" borderId="5" xfId="0" applyNumberFormat="1" applyBorder="1" applyAlignment="1" applyProtection="1">
      <alignment horizontal="center"/>
      <protection locked="0"/>
    </xf>
    <xf numFmtId="0" fontId="0" fillId="0" borderId="5" xfId="0" applyBorder="1" applyAlignment="1" applyProtection="1">
      <alignment horizontal="center"/>
      <protection locked="0"/>
    </xf>
    <xf numFmtId="178" fontId="0" fillId="0" borderId="1" xfId="1" applyNumberFormat="1" applyFont="1" applyBorder="1" applyAlignment="1">
      <alignment horizontal="center" vertical="center"/>
    </xf>
    <xf numFmtId="176" fontId="0" fillId="0" borderId="1" xfId="1" applyNumberFormat="1" applyFont="1" applyBorder="1" applyAlignment="1">
      <alignment horizontal="center" vertical="center"/>
    </xf>
    <xf numFmtId="179" fontId="0" fillId="0" borderId="1" xfId="0" applyNumberFormat="1" applyBorder="1" applyAlignment="1">
      <alignment horizontal="center"/>
    </xf>
    <xf numFmtId="179" fontId="0" fillId="0" borderId="1" xfId="0" applyNumberFormat="1" applyBorder="1"/>
    <xf numFmtId="179" fontId="0" fillId="0" borderId="1" xfId="0" applyNumberFormat="1" applyBorder="1" applyAlignment="1">
      <alignment horizontal="center" vertical="center"/>
    </xf>
    <xf numFmtId="180" fontId="0" fillId="0" borderId="1" xfId="0" applyNumberFormat="1" applyBorder="1" applyAlignment="1">
      <alignment horizontal="center" vertical="center"/>
    </xf>
    <xf numFmtId="0" fontId="0" fillId="13" borderId="71" xfId="0" applyFill="1" applyBorder="1" applyAlignment="1">
      <alignment horizontal="center" vertical="center" wrapText="1"/>
    </xf>
    <xf numFmtId="0" fontId="0" fillId="13" borderId="71" xfId="0" applyFill="1" applyBorder="1" applyAlignment="1">
      <alignment horizontal="center" vertical="center"/>
    </xf>
    <xf numFmtId="164" fontId="0" fillId="13" borderId="65" xfId="0" applyNumberFormat="1" applyFill="1" applyBorder="1" applyAlignment="1">
      <alignment horizontal="center" vertical="center"/>
    </xf>
    <xf numFmtId="165" fontId="0" fillId="13" borderId="65" xfId="0" applyNumberFormat="1" applyFill="1" applyBorder="1" applyAlignment="1">
      <alignment horizontal="center" vertical="center"/>
    </xf>
    <xf numFmtId="0" fontId="0" fillId="15" borderId="61" xfId="0" applyFill="1" applyBorder="1" applyAlignment="1">
      <alignment horizontal="center"/>
    </xf>
    <xf numFmtId="0" fontId="0" fillId="15" borderId="65" xfId="0" applyFill="1" applyBorder="1" applyAlignment="1">
      <alignment horizontal="center"/>
    </xf>
    <xf numFmtId="164" fontId="0" fillId="0" borderId="75" xfId="0" applyNumberFormat="1" applyBorder="1" applyAlignment="1">
      <alignment horizontal="center" vertical="center"/>
    </xf>
    <xf numFmtId="164" fontId="0" fillId="0" borderId="76" xfId="0" applyNumberFormat="1" applyBorder="1" applyAlignment="1">
      <alignment horizontal="center" vertical="center"/>
    </xf>
    <xf numFmtId="164" fontId="0" fillId="0" borderId="63" xfId="0" applyNumberFormat="1" applyBorder="1" applyAlignment="1">
      <alignment horizontal="center" vertical="center"/>
    </xf>
    <xf numFmtId="164" fontId="0" fillId="0" borderId="47"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164" fontId="0" fillId="0" borderId="43" xfId="0" applyNumberFormat="1" applyBorder="1" applyAlignment="1" applyProtection="1">
      <alignment horizontal="center" vertical="center"/>
      <protection locked="0"/>
    </xf>
    <xf numFmtId="0" fontId="0" fillId="0" borderId="11" xfId="0" applyBorder="1"/>
    <xf numFmtId="0" fontId="1" fillId="3" borderId="63" xfId="0" applyFont="1" applyFill="1" applyBorder="1" applyAlignment="1">
      <alignment horizontal="center"/>
    </xf>
    <xf numFmtId="0" fontId="1" fillId="3" borderId="43" xfId="0" applyFont="1" applyFill="1" applyBorder="1" applyAlignment="1">
      <alignment horizontal="center"/>
    </xf>
    <xf numFmtId="0" fontId="1" fillId="3" borderId="51" xfId="0" applyFont="1" applyFill="1" applyBorder="1" applyAlignment="1">
      <alignment horizontal="center"/>
    </xf>
    <xf numFmtId="0" fontId="0" fillId="0" borderId="30" xfId="0" applyFill="1" applyBorder="1"/>
    <xf numFmtId="0" fontId="0" fillId="0" borderId="64" xfId="0" applyFill="1" applyBorder="1"/>
    <xf numFmtId="0" fontId="0" fillId="0" borderId="60" xfId="0" applyFill="1" applyBorder="1"/>
    <xf numFmtId="0" fontId="0" fillId="13" borderId="65" xfId="0" applyFill="1" applyBorder="1" applyAlignment="1">
      <alignment horizontal="center"/>
    </xf>
    <xf numFmtId="0" fontId="6" fillId="13" borderId="71" xfId="0" applyFont="1" applyFill="1" applyBorder="1" applyAlignment="1">
      <alignment horizontal="center" vertical="center"/>
    </xf>
    <xf numFmtId="172" fontId="0" fillId="13" borderId="65" xfId="0" applyNumberFormat="1" applyFill="1" applyBorder="1" applyAlignment="1">
      <alignment horizontal="center" vertical="center"/>
    </xf>
    <xf numFmtId="173" fontId="0" fillId="13" borderId="65" xfId="0" applyNumberFormat="1" applyFill="1" applyBorder="1" applyAlignment="1">
      <alignment horizontal="center" vertical="center"/>
    </xf>
    <xf numFmtId="0" fontId="1" fillId="3" borderId="31" xfId="0" applyFont="1" applyFill="1" applyBorder="1" applyAlignment="1">
      <alignment horizontal="center"/>
    </xf>
    <xf numFmtId="0" fontId="1" fillId="3" borderId="49" xfId="0" applyFont="1" applyFill="1" applyBorder="1" applyAlignment="1">
      <alignment horizontal="center"/>
    </xf>
    <xf numFmtId="166" fontId="0" fillId="0" borderId="76" xfId="1" applyNumberFormat="1" applyFont="1" applyBorder="1" applyAlignment="1">
      <alignment horizontal="center" vertical="center"/>
    </xf>
    <xf numFmtId="166" fontId="0" fillId="0" borderId="63" xfId="1" applyNumberFormat="1" applyFont="1" applyBorder="1" applyAlignment="1">
      <alignment horizontal="center" vertical="center"/>
    </xf>
    <xf numFmtId="166" fontId="0" fillId="0" borderId="43" xfId="1" applyNumberFormat="1" applyFont="1" applyBorder="1" applyAlignment="1" applyProtection="1">
      <alignment horizontal="center" vertical="center"/>
      <protection locked="0"/>
    </xf>
    <xf numFmtId="0" fontId="0" fillId="12" borderId="33" xfId="0" applyFill="1" applyBorder="1" applyAlignment="1">
      <alignment horizontal="left"/>
    </xf>
    <xf numFmtId="0" fontId="0" fillId="13" borderId="61" xfId="0" applyFill="1" applyBorder="1" applyAlignment="1">
      <alignment horizontal="left" wrapText="1"/>
    </xf>
    <xf numFmtId="173" fontId="0" fillId="0" borderId="55" xfId="0" applyNumberFormat="1" applyBorder="1" applyAlignment="1">
      <alignment horizontal="left" vertical="center"/>
    </xf>
    <xf numFmtId="173" fontId="0" fillId="0" borderId="50" xfId="0" applyNumberFormat="1" applyBorder="1" applyAlignment="1" applyProtection="1">
      <alignment horizontal="left" vertical="center"/>
      <protection locked="0"/>
    </xf>
    <xf numFmtId="173" fontId="0" fillId="0" borderId="4" xfId="0" applyNumberFormat="1" applyBorder="1" applyAlignment="1">
      <alignment horizontal="left" vertical="center"/>
    </xf>
    <xf numFmtId="173" fontId="0" fillId="0" borderId="42" xfId="0" applyNumberFormat="1" applyBorder="1" applyAlignment="1" applyProtection="1">
      <alignment horizontal="left" vertical="center"/>
      <protection locked="0"/>
    </xf>
    <xf numFmtId="173" fontId="0" fillId="0" borderId="76" xfId="0" applyNumberFormat="1" applyBorder="1" applyAlignment="1">
      <alignment horizontal="left" vertical="center"/>
    </xf>
    <xf numFmtId="173" fontId="0" fillId="0" borderId="63" xfId="0" applyNumberFormat="1" applyBorder="1" applyAlignment="1">
      <alignment horizontal="left" vertical="center"/>
    </xf>
    <xf numFmtId="173" fontId="0" fillId="0" borderId="43" xfId="0" applyNumberFormat="1" applyBorder="1" applyAlignment="1" applyProtection="1">
      <alignment horizontal="left" vertical="center"/>
      <protection locked="0"/>
    </xf>
    <xf numFmtId="0" fontId="0" fillId="0" borderId="39" xfId="0" applyFill="1" applyBorder="1"/>
    <xf numFmtId="0" fontId="0" fillId="0" borderId="76" xfId="0" applyFill="1" applyBorder="1"/>
    <xf numFmtId="0" fontId="0" fillId="0" borderId="60" xfId="0" applyFont="1" applyFill="1" applyBorder="1" applyAlignment="1"/>
    <xf numFmtId="0" fontId="6" fillId="0" borderId="60" xfId="0" applyFont="1" applyFill="1" applyBorder="1"/>
    <xf numFmtId="0" fontId="6" fillId="0" borderId="60" xfId="0" applyFont="1" applyFill="1" applyBorder="1" applyAlignment="1"/>
    <xf numFmtId="0" fontId="0" fillId="0" borderId="8" xfId="0" applyFill="1" applyBorder="1" applyAlignment="1"/>
    <xf numFmtId="0" fontId="0" fillId="0" borderId="19" xfId="0" applyBorder="1" applyAlignment="1"/>
    <xf numFmtId="0" fontId="0" fillId="0" borderId="6" xfId="0" applyBorder="1" applyProtection="1"/>
    <xf numFmtId="0" fontId="0" fillId="0" borderId="80" xfId="0" applyBorder="1"/>
    <xf numFmtId="0" fontId="0" fillId="0" borderId="26" xfId="0" applyBorder="1" applyProtection="1"/>
    <xf numFmtId="0" fontId="0" fillId="0" borderId="1" xfId="0" applyFill="1" applyBorder="1" applyAlignment="1"/>
    <xf numFmtId="0" fontId="0" fillId="4" borderId="25" xfId="0" applyFill="1" applyBorder="1"/>
    <xf numFmtId="0" fontId="0" fillId="4" borderId="1" xfId="0" applyFill="1" applyBorder="1" applyAlignment="1"/>
    <xf numFmtId="3" fontId="0" fillId="0" borderId="1" xfId="0" applyNumberFormat="1" applyBorder="1" applyAlignment="1" applyProtection="1">
      <alignment horizontal="center"/>
      <protection locked="0"/>
    </xf>
    <xf numFmtId="0" fontId="0" fillId="4" borderId="3" xfId="0" applyFill="1" applyBorder="1"/>
    <xf numFmtId="167" fontId="0" fillId="0" borderId="9" xfId="0" applyNumberFormat="1" applyBorder="1" applyAlignment="1">
      <alignment horizontal="center" vertical="center" wrapText="1"/>
    </xf>
    <xf numFmtId="0" fontId="0" fillId="3" borderId="1" xfId="0" applyFill="1" applyBorder="1" applyAlignment="1">
      <alignment horizontal="center"/>
    </xf>
    <xf numFmtId="0" fontId="0" fillId="4" borderId="1" xfId="0" applyFill="1" applyBorder="1" applyAlignment="1">
      <alignment horizontal="center"/>
    </xf>
    <xf numFmtId="0" fontId="0" fillId="0" borderId="1" xfId="0" applyBorder="1" applyAlignment="1" applyProtection="1">
      <alignment horizontal="center"/>
      <protection locked="0"/>
    </xf>
    <xf numFmtId="174" fontId="0" fillId="0" borderId="0" xfId="0" applyNumberFormat="1" applyBorder="1" applyAlignment="1">
      <alignment horizontal="center"/>
    </xf>
    <xf numFmtId="0" fontId="0" fillId="0" borderId="0" xfId="0" applyFill="1" applyBorder="1" applyAlignment="1">
      <alignment horizontal="center" vertical="center"/>
    </xf>
    <xf numFmtId="0" fontId="0" fillId="4" borderId="1" xfId="0" applyFill="1" applyBorder="1" applyAlignment="1">
      <alignment horizontal="center" wrapText="1"/>
    </xf>
    <xf numFmtId="0" fontId="0" fillId="0" borderId="1" xfId="0" applyBorder="1" applyAlignment="1">
      <alignment horizontal="center"/>
    </xf>
    <xf numFmtId="0" fontId="0" fillId="4" borderId="1" xfId="0" applyFill="1" applyBorder="1" applyAlignment="1">
      <alignment horizontal="center" vertical="center"/>
    </xf>
    <xf numFmtId="0" fontId="0" fillId="0" borderId="25" xfId="0" applyBorder="1" applyAlignment="1">
      <alignment horizontal="center" vertical="center"/>
    </xf>
    <xf numFmtId="0" fontId="0" fillId="0" borderId="4" xfId="0" applyFill="1" applyBorder="1"/>
    <xf numFmtId="179" fontId="0" fillId="0" borderId="0" xfId="0" applyNumberFormat="1" applyBorder="1" applyAlignment="1">
      <alignment horizontal="center"/>
    </xf>
    <xf numFmtId="0" fontId="0" fillId="0" borderId="80" xfId="0" applyBorder="1" applyAlignment="1"/>
    <xf numFmtId="0" fontId="0" fillId="0" borderId="1" xfId="0" applyBorder="1" applyAlignment="1"/>
    <xf numFmtId="0" fontId="0" fillId="0" borderId="25" xfId="0" applyBorder="1" applyProtection="1"/>
    <xf numFmtId="0" fontId="0" fillId="0" borderId="1" xfId="0" applyBorder="1" applyProtection="1"/>
    <xf numFmtId="0" fontId="0" fillId="3" borderId="31" xfId="0" applyFill="1" applyBorder="1" applyAlignment="1">
      <alignment horizontal="center"/>
    </xf>
    <xf numFmtId="0" fontId="0" fillId="3" borderId="32" xfId="0" applyFill="1" applyBorder="1" applyAlignment="1">
      <alignment horizontal="center"/>
    </xf>
    <xf numFmtId="0" fontId="0" fillId="3" borderId="51" xfId="0" applyFill="1" applyBorder="1" applyAlignment="1">
      <alignment horizontal="center"/>
    </xf>
    <xf numFmtId="0" fontId="0" fillId="3" borderId="49" xfId="0" applyFill="1" applyBorder="1" applyAlignment="1">
      <alignment horizontal="center"/>
    </xf>
    <xf numFmtId="166" fontId="0" fillId="0" borderId="55" xfId="1" applyNumberFormat="1" applyFont="1" applyBorder="1" applyAlignment="1">
      <alignment horizontal="center" vertical="center"/>
    </xf>
    <xf numFmtId="9" fontId="0" fillId="13" borderId="65" xfId="1" applyFont="1" applyFill="1" applyBorder="1" applyAlignment="1">
      <alignment horizontal="center" vertical="center"/>
    </xf>
    <xf numFmtId="0" fontId="0" fillId="13" borderId="0" xfId="0" applyFill="1" applyBorder="1"/>
    <xf numFmtId="171" fontId="0" fillId="13" borderId="65" xfId="0" applyNumberFormat="1" applyFill="1" applyBorder="1" applyAlignment="1">
      <alignment horizontal="center" vertical="center"/>
    </xf>
    <xf numFmtId="0" fontId="0" fillId="0" borderId="11" xfId="0" applyBorder="1" applyAlignment="1">
      <alignment vertical="top" wrapText="1"/>
    </xf>
    <xf numFmtId="0" fontId="0" fillId="3" borderId="63" xfId="0" applyFill="1" applyBorder="1" applyAlignment="1">
      <alignment horizontal="center"/>
    </xf>
    <xf numFmtId="0" fontId="0" fillId="0" borderId="39" xfId="0" applyBorder="1" applyAlignment="1">
      <alignment horizontal="center" vertical="center"/>
    </xf>
    <xf numFmtId="49" fontId="0" fillId="0" borderId="32" xfId="0" applyNumberFormat="1" applyBorder="1" applyAlignment="1">
      <alignment horizontal="left" vertical="center"/>
    </xf>
    <xf numFmtId="0" fontId="0" fillId="13" borderId="71" xfId="0" applyFill="1" applyBorder="1" applyAlignment="1">
      <alignment horizontal="center"/>
    </xf>
    <xf numFmtId="0" fontId="0" fillId="13" borderId="65" xfId="0" applyFill="1" applyBorder="1" applyAlignment="1">
      <alignment horizontal="center" vertical="center"/>
    </xf>
    <xf numFmtId="2" fontId="0" fillId="0" borderId="71" xfId="0" applyNumberFormat="1" applyFill="1" applyBorder="1" applyAlignment="1">
      <alignment horizontal="center" vertical="center"/>
    </xf>
    <xf numFmtId="2" fontId="0" fillId="0" borderId="49" xfId="0" applyNumberFormat="1" applyFill="1" applyBorder="1" applyAlignment="1" applyProtection="1">
      <alignment horizontal="center" vertical="center"/>
      <protection locked="0"/>
    </xf>
    <xf numFmtId="2" fontId="0" fillId="13" borderId="39" xfId="0" applyNumberFormat="1" applyFill="1" applyBorder="1" applyAlignment="1">
      <alignment horizontal="center" vertical="center"/>
    </xf>
    <xf numFmtId="2" fontId="0" fillId="13" borderId="39" xfId="0" applyNumberFormat="1" applyFill="1" applyBorder="1" applyAlignment="1" applyProtection="1">
      <alignment horizontal="center" vertical="center"/>
      <protection locked="0"/>
    </xf>
    <xf numFmtId="2" fontId="0" fillId="13" borderId="65" xfId="0" applyNumberFormat="1" applyFill="1" applyBorder="1" applyAlignment="1">
      <alignment horizontal="center" vertical="center"/>
    </xf>
    <xf numFmtId="0" fontId="0" fillId="0" borderId="0" xfId="0" applyBorder="1" applyAlignment="1">
      <alignment vertical="top" wrapText="1"/>
    </xf>
    <xf numFmtId="0" fontId="0" fillId="4" borderId="44" xfId="0" applyFill="1" applyBorder="1" applyAlignment="1">
      <alignment horizontal="left"/>
    </xf>
    <xf numFmtId="0" fontId="0" fillId="4" borderId="41" xfId="0" applyFill="1" applyBorder="1"/>
    <xf numFmtId="0" fontId="0" fillId="0" borderId="11" xfId="0" applyFill="1" applyBorder="1"/>
    <xf numFmtId="0" fontId="0" fillId="14" borderId="33" xfId="0" applyFill="1" applyBorder="1"/>
    <xf numFmtId="0" fontId="0" fillId="14" borderId="82" xfId="0" applyFill="1" applyBorder="1"/>
    <xf numFmtId="0" fontId="0" fillId="12" borderId="34" xfId="0" applyFont="1" applyFill="1" applyBorder="1"/>
    <xf numFmtId="166" fontId="0" fillId="0" borderId="11" xfId="0" applyNumberFormat="1" applyFill="1" applyBorder="1" applyAlignment="1">
      <alignment horizontal="center" vertical="center"/>
    </xf>
    <xf numFmtId="0" fontId="0" fillId="0" borderId="6" xfId="0" applyBorder="1"/>
    <xf numFmtId="166" fontId="0" fillId="0" borderId="62" xfId="0" applyNumberFormat="1" applyFill="1" applyBorder="1" applyAlignment="1">
      <alignment horizontal="center" vertical="center"/>
    </xf>
    <xf numFmtId="166" fontId="0" fillId="0" borderId="0" xfId="0" applyNumberFormat="1" applyFill="1" applyBorder="1" applyAlignment="1">
      <alignment horizontal="center" vertical="center"/>
    </xf>
    <xf numFmtId="0" fontId="1" fillId="4" borderId="8" xfId="0" applyFont="1" applyFill="1" applyBorder="1"/>
    <xf numFmtId="166" fontId="0" fillId="4" borderId="61" xfId="1" applyNumberFormat="1" applyFont="1" applyFill="1" applyBorder="1" applyAlignment="1">
      <alignment horizontal="center" vertical="center"/>
    </xf>
    <xf numFmtId="166" fontId="0" fillId="4" borderId="65" xfId="1" applyNumberFormat="1" applyFont="1" applyFill="1" applyBorder="1" applyAlignment="1">
      <alignment horizontal="center" vertical="center"/>
    </xf>
    <xf numFmtId="0" fontId="0" fillId="0" borderId="0" xfId="0" applyFont="1" applyFill="1" applyBorder="1" applyAlignment="1"/>
    <xf numFmtId="166" fontId="0" fillId="14" borderId="0" xfId="1" applyNumberFormat="1" applyFont="1" applyFill="1" applyBorder="1" applyAlignment="1">
      <alignment horizontal="center" vertical="center"/>
    </xf>
    <xf numFmtId="166" fontId="0" fillId="14" borderId="41" xfId="1" applyNumberFormat="1" applyFont="1" applyFill="1" applyBorder="1" applyAlignment="1">
      <alignment horizontal="center" vertical="center"/>
    </xf>
    <xf numFmtId="166" fontId="0" fillId="14" borderId="30" xfId="1" applyNumberFormat="1" applyFont="1" applyFill="1" applyBorder="1" applyAlignment="1">
      <alignment horizontal="center" vertical="center"/>
    </xf>
    <xf numFmtId="166" fontId="0" fillId="0" borderId="75" xfId="1" applyNumberFormat="1" applyFont="1" applyFill="1" applyBorder="1" applyAlignment="1">
      <alignment horizontal="center" vertical="center"/>
    </xf>
    <xf numFmtId="166" fontId="0" fillId="0" borderId="9" xfId="1" applyNumberFormat="1" applyFont="1" applyFill="1" applyBorder="1" applyAlignment="1">
      <alignment horizontal="center" vertical="center"/>
    </xf>
    <xf numFmtId="166" fontId="0" fillId="13" borderId="65" xfId="1" applyNumberFormat="1" applyFont="1" applyFill="1" applyBorder="1" applyAlignment="1">
      <alignment horizontal="center" vertical="center"/>
    </xf>
    <xf numFmtId="0" fontId="6" fillId="0" borderId="0" xfId="0" applyFont="1" applyFill="1" applyBorder="1"/>
    <xf numFmtId="166" fontId="0" fillId="14" borderId="7" xfId="1" applyNumberFormat="1" applyFont="1" applyFill="1" applyBorder="1" applyAlignment="1">
      <alignment horizontal="center" vertical="center"/>
    </xf>
    <xf numFmtId="166" fontId="0" fillId="14" borderId="33" xfId="1" applyNumberFormat="1" applyFont="1" applyFill="1" applyBorder="1" applyAlignment="1" applyProtection="1">
      <alignment horizontal="center" vertical="center"/>
      <protection locked="0"/>
    </xf>
    <xf numFmtId="166" fontId="0" fillId="0" borderId="0" xfId="1" applyNumberFormat="1" applyFont="1" applyFill="1" applyBorder="1" applyAlignment="1">
      <alignment horizontal="center" vertical="center"/>
    </xf>
    <xf numFmtId="166" fontId="0" fillId="14" borderId="63" xfId="1" applyNumberFormat="1" applyFont="1" applyFill="1" applyBorder="1" applyAlignment="1">
      <alignment horizontal="center" vertical="center"/>
    </xf>
    <xf numFmtId="166" fontId="0" fillId="14" borderId="43" xfId="1" applyNumberFormat="1" applyFont="1" applyFill="1" applyBorder="1" applyAlignment="1">
      <alignment horizontal="center" vertical="center"/>
    </xf>
    <xf numFmtId="0" fontId="0" fillId="4" borderId="0" xfId="0" applyFill="1" applyBorder="1"/>
    <xf numFmtId="0" fontId="0" fillId="4" borderId="0" xfId="0" applyFill="1"/>
    <xf numFmtId="166" fontId="0" fillId="14" borderId="44" xfId="1" applyNumberFormat="1" applyFont="1" applyFill="1" applyBorder="1" applyAlignment="1">
      <alignment horizontal="center" vertical="center"/>
    </xf>
    <xf numFmtId="166" fontId="0" fillId="14" borderId="41" xfId="1" applyNumberFormat="1" applyFont="1" applyFill="1" applyBorder="1" applyAlignment="1" applyProtection="1">
      <alignment horizontal="center" vertical="center"/>
      <protection locked="0"/>
    </xf>
    <xf numFmtId="166" fontId="0" fillId="14" borderId="58" xfId="1" applyNumberFormat="1" applyFont="1" applyFill="1" applyBorder="1" applyAlignment="1">
      <alignment horizontal="center" vertical="center"/>
    </xf>
    <xf numFmtId="0" fontId="0" fillId="0" borderId="64" xfId="0" applyFill="1" applyBorder="1" applyAlignment="1">
      <alignment horizontal="center" vertical="center"/>
    </xf>
    <xf numFmtId="166" fontId="0" fillId="0" borderId="64" xfId="1" applyNumberFormat="1" applyFont="1" applyFill="1" applyBorder="1" applyAlignment="1">
      <alignment horizontal="center" vertical="center"/>
    </xf>
    <xf numFmtId="0" fontId="9" fillId="0" borderId="0" xfId="0" applyFont="1" applyAlignment="1">
      <alignment wrapText="1"/>
    </xf>
    <xf numFmtId="0" fontId="0" fillId="0" borderId="1" xfId="0" applyBorder="1" applyAlignment="1" applyProtection="1">
      <alignment horizontal="center"/>
      <protection locked="0"/>
    </xf>
    <xf numFmtId="0" fontId="1" fillId="3" borderId="1" xfId="0" applyFont="1" applyFill="1" applyBorder="1" applyAlignment="1">
      <alignment horizontal="center"/>
    </xf>
    <xf numFmtId="0" fontId="1" fillId="3" borderId="1" xfId="0" applyFont="1" applyFill="1" applyBorder="1"/>
    <xf numFmtId="0" fontId="0" fillId="0" borderId="3" xfId="0" applyBorder="1"/>
    <xf numFmtId="0" fontId="0" fillId="0" borderId="2" xfId="0" applyBorder="1"/>
    <xf numFmtId="167" fontId="0" fillId="0" borderId="0" xfId="0" applyNumberFormat="1" applyProtection="1">
      <protection locked="0"/>
    </xf>
    <xf numFmtId="0" fontId="0" fillId="0" borderId="26" xfId="0" applyBorder="1" applyProtection="1">
      <protection locked="0"/>
    </xf>
    <xf numFmtId="166" fontId="0" fillId="0" borderId="33" xfId="0" applyNumberFormat="1" applyFill="1" applyBorder="1" applyAlignment="1" applyProtection="1">
      <alignment horizontal="center" vertical="center"/>
      <protection locked="0"/>
    </xf>
    <xf numFmtId="166" fontId="0" fillId="0" borderId="34" xfId="1" applyNumberFormat="1" applyFont="1" applyFill="1" applyBorder="1" applyAlignment="1" applyProtection="1">
      <alignment horizontal="center" vertical="center"/>
      <protection locked="0"/>
    </xf>
    <xf numFmtId="166" fontId="0" fillId="0" borderId="30" xfId="1" applyNumberFormat="1" applyFont="1" applyFill="1" applyBorder="1" applyAlignment="1" applyProtection="1">
      <alignment horizontal="center" vertical="center"/>
      <protection locked="0"/>
    </xf>
    <xf numFmtId="166" fontId="0" fillId="0" borderId="47" xfId="1" applyNumberFormat="1" applyFont="1" applyFill="1" applyBorder="1" applyAlignment="1" applyProtection="1">
      <alignment horizontal="center" vertical="center"/>
      <protection locked="0"/>
    </xf>
    <xf numFmtId="0" fontId="10" fillId="0" borderId="0" xfId="0" applyFont="1"/>
    <xf numFmtId="166" fontId="0" fillId="14" borderId="57" xfId="1" applyNumberFormat="1" applyFont="1" applyFill="1" applyBorder="1" applyAlignment="1">
      <alignment horizontal="center" vertical="center"/>
    </xf>
    <xf numFmtId="0" fontId="0" fillId="14" borderId="40" xfId="0" applyFill="1" applyBorder="1"/>
    <xf numFmtId="0" fontId="0" fillId="14" borderId="62" xfId="0" applyFill="1" applyBorder="1" applyAlignment="1">
      <alignment horizontal="left"/>
    </xf>
    <xf numFmtId="176" fontId="0" fillId="0" borderId="1" xfId="0" quotePrefix="1" applyNumberFormat="1" applyBorder="1" applyAlignment="1">
      <alignment horizontal="center"/>
    </xf>
    <xf numFmtId="164" fontId="0" fillId="0" borderId="0" xfId="0" applyNumberFormat="1"/>
    <xf numFmtId="164" fontId="0" fillId="0" borderId="1" xfId="0" applyNumberFormat="1" applyBorder="1"/>
    <xf numFmtId="164" fontId="0" fillId="0" borderId="9" xfId="0" applyNumberFormat="1" applyBorder="1" applyAlignment="1">
      <alignment horizontal="center" vertical="center"/>
    </xf>
    <xf numFmtId="176" fontId="0" fillId="0" borderId="1" xfId="0" applyNumberFormat="1" applyBorder="1"/>
    <xf numFmtId="0" fontId="0" fillId="0" borderId="0" xfId="0" applyAlignment="1">
      <alignment vertical="top"/>
    </xf>
    <xf numFmtId="0" fontId="0" fillId="0" borderId="0" xfId="0" applyBorder="1"/>
    <xf numFmtId="168" fontId="0" fillId="0" borderId="0" xfId="0" applyNumberFormat="1" applyBorder="1"/>
    <xf numFmtId="168" fontId="0" fillId="11" borderId="0" xfId="0" applyNumberFormat="1" applyFont="1" applyFill="1" applyBorder="1" applyAlignment="1">
      <alignment horizontal="center"/>
    </xf>
    <xf numFmtId="0" fontId="0" fillId="0" borderId="0" xfId="0" applyBorder="1" applyAlignment="1">
      <alignment horizontal="left"/>
    </xf>
    <xf numFmtId="0" fontId="0" fillId="0" borderId="10" xfId="0" applyFill="1" applyBorder="1" applyAlignment="1"/>
    <xf numFmtId="167" fontId="0" fillId="12" borderId="9"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10" fontId="0" fillId="0" borderId="1" xfId="0" applyNumberFormat="1" applyBorder="1"/>
    <xf numFmtId="10" fontId="0" fillId="0" borderId="1" xfId="0" applyNumberFormat="1" applyFill="1" applyBorder="1"/>
    <xf numFmtId="166" fontId="0" fillId="0" borderId="0" xfId="0" applyNumberFormat="1"/>
    <xf numFmtId="2" fontId="0" fillId="11" borderId="1" xfId="0" applyNumberFormat="1" applyFill="1" applyBorder="1" applyAlignment="1">
      <alignment horizontal="center" vertical="center"/>
    </xf>
    <xf numFmtId="0" fontId="0" fillId="3" borderId="1" xfId="0" applyFill="1" applyBorder="1" applyAlignment="1">
      <alignment horizontal="center"/>
    </xf>
    <xf numFmtId="10" fontId="0" fillId="0" borderId="1" xfId="1" applyNumberFormat="1" applyFont="1" applyBorder="1" applyAlignment="1" applyProtection="1">
      <alignment horizontal="center"/>
      <protection locked="0"/>
    </xf>
    <xf numFmtId="0" fontId="0" fillId="4" borderId="1" xfId="0" applyFill="1" applyBorder="1" applyAlignment="1">
      <alignment horizontal="left"/>
    </xf>
    <xf numFmtId="0" fontId="0" fillId="0" borderId="0" xfId="0" applyFill="1" applyBorder="1" applyAlignment="1">
      <alignment horizontal="center" vertical="center"/>
    </xf>
    <xf numFmtId="0" fontId="0" fillId="0" borderId="4" xfId="0" applyFill="1" applyBorder="1" applyAlignment="1">
      <alignment horizontal="center"/>
    </xf>
    <xf numFmtId="174" fontId="0" fillId="0" borderId="0" xfId="0" applyNumberFormat="1" applyBorder="1" applyAlignment="1">
      <alignment horizontal="center"/>
    </xf>
    <xf numFmtId="0" fontId="0" fillId="0" borderId="0" xfId="0" applyFill="1" applyBorder="1" applyAlignment="1">
      <alignment horizontal="center"/>
    </xf>
    <xf numFmtId="0" fontId="0" fillId="0" borderId="1" xfId="0" applyBorder="1" applyAlignment="1">
      <alignment horizontal="center"/>
    </xf>
    <xf numFmtId="0" fontId="0" fillId="4" borderId="1" xfId="0" applyFill="1" applyBorder="1" applyAlignment="1">
      <alignment horizontal="center" vertical="center"/>
    </xf>
    <xf numFmtId="0" fontId="0" fillId="0" borderId="1" xfId="0" applyFill="1" applyBorder="1" applyAlignment="1">
      <alignment horizontal="center"/>
    </xf>
    <xf numFmtId="168" fontId="0" fillId="0" borderId="1" xfId="0" applyNumberFormat="1" applyFill="1" applyBorder="1" applyAlignment="1" applyProtection="1">
      <alignment vertical="center"/>
      <protection locked="0"/>
    </xf>
    <xf numFmtId="164" fontId="0" fillId="0" borderId="1" xfId="0" applyNumberFormat="1" applyFill="1" applyBorder="1" applyAlignment="1"/>
    <xf numFmtId="0" fontId="0" fillId="0" borderId="1" xfId="0" applyFill="1" applyBorder="1" applyAlignment="1">
      <alignment horizontal="center" wrapText="1"/>
    </xf>
    <xf numFmtId="164" fontId="0" fillId="0" borderId="1" xfId="1" applyNumberFormat="1" applyFont="1" applyFill="1" applyBorder="1" applyAlignment="1"/>
    <xf numFmtId="164" fontId="0" fillId="0" borderId="10" xfId="0" applyNumberFormat="1" applyFill="1" applyBorder="1" applyAlignment="1"/>
    <xf numFmtId="175" fontId="0" fillId="0" borderId="10" xfId="0" applyNumberFormat="1" applyFill="1" applyBorder="1" applyAlignment="1"/>
    <xf numFmtId="0" fontId="0" fillId="0" borderId="0" xfId="0" applyBorder="1" applyAlignment="1">
      <alignment horizontal="center"/>
    </xf>
    <xf numFmtId="175" fontId="0" fillId="0" borderId="0" xfId="0" applyNumberFormat="1" applyFill="1" applyBorder="1"/>
    <xf numFmtId="168" fontId="0" fillId="0" borderId="0" xfId="0" applyNumberFormat="1" applyFill="1" applyBorder="1" applyAlignment="1" applyProtection="1">
      <alignment vertical="center"/>
      <protection locked="0"/>
    </xf>
    <xf numFmtId="0" fontId="0" fillId="0" borderId="0" xfId="0" applyFill="1" applyBorder="1" applyAlignment="1">
      <alignment wrapText="1"/>
    </xf>
    <xf numFmtId="0" fontId="0" fillId="0" borderId="0" xfId="0" applyFill="1" applyBorder="1" applyAlignment="1">
      <alignment vertical="center"/>
    </xf>
    <xf numFmtId="0" fontId="0" fillId="4" borderId="1" xfId="0" applyFill="1" applyBorder="1" applyAlignment="1">
      <alignment wrapText="1"/>
    </xf>
    <xf numFmtId="167" fontId="0" fillId="0" borderId="0" xfId="0" applyNumberFormat="1" applyFill="1" applyBorder="1" applyAlignment="1">
      <alignment vertical="center"/>
    </xf>
    <xf numFmtId="175" fontId="0" fillId="0" borderId="0" xfId="1" applyNumberFormat="1" applyFont="1" applyBorder="1" applyAlignment="1" applyProtection="1">
      <alignment horizontal="center" vertical="center"/>
      <protection locked="0"/>
    </xf>
    <xf numFmtId="168" fontId="0" fillId="0" borderId="0" xfId="1" applyNumberFormat="1" applyFont="1" applyBorder="1" applyAlignment="1" applyProtection="1">
      <alignment horizontal="center" vertical="center"/>
      <protection locked="0"/>
    </xf>
    <xf numFmtId="168" fontId="0" fillId="0" borderId="10" xfId="1" applyNumberFormat="1" applyFont="1" applyBorder="1" applyAlignment="1" applyProtection="1">
      <alignment horizontal="center" vertical="center"/>
      <protection locked="0"/>
    </xf>
    <xf numFmtId="0" fontId="0" fillId="0" borderId="1" xfId="0" applyFill="1" applyBorder="1" applyAlignment="1">
      <alignment vertical="center"/>
    </xf>
    <xf numFmtId="0" fontId="0" fillId="0" borderId="4" xfId="0" applyBorder="1" applyAlignment="1" applyProtection="1">
      <alignment horizontal="center"/>
      <protection locked="0"/>
    </xf>
    <xf numFmtId="164" fontId="0" fillId="0" borderId="1" xfId="0" applyNumberFormat="1" applyBorder="1" applyAlignment="1" applyProtection="1">
      <alignment horizontal="center"/>
      <protection locked="0"/>
    </xf>
    <xf numFmtId="1" fontId="0" fillId="0" borderId="4" xfId="0" applyNumberFormat="1" applyBorder="1" applyAlignment="1" applyProtection="1">
      <alignment horizontal="center"/>
      <protection locked="0"/>
    </xf>
    <xf numFmtId="167" fontId="0" fillId="0" borderId="4" xfId="0" applyNumberFormat="1" applyBorder="1" applyAlignment="1" applyProtection="1">
      <alignment horizontal="center"/>
      <protection locked="0"/>
    </xf>
    <xf numFmtId="0" fontId="0" fillId="0" borderId="10" xfId="0" applyFill="1" applyBorder="1" applyAlignment="1">
      <alignment wrapText="1"/>
    </xf>
    <xf numFmtId="10" fontId="0" fillId="0" borderId="4" xfId="1" applyNumberFormat="1" applyFont="1" applyBorder="1" applyAlignment="1" applyProtection="1">
      <alignment horizontal="center"/>
      <protection locked="0"/>
    </xf>
    <xf numFmtId="0" fontId="0" fillId="0" borderId="10" xfId="0" applyFill="1" applyBorder="1" applyAlignment="1" applyProtection="1">
      <alignment vertical="center"/>
      <protection locked="0"/>
    </xf>
    <xf numFmtId="0" fontId="0" fillId="0" borderId="72" xfId="0" applyFill="1" applyBorder="1" applyAlignment="1" applyProtection="1">
      <alignment horizontal="center"/>
      <protection locked="0"/>
    </xf>
    <xf numFmtId="0" fontId="0" fillId="0" borderId="72" xfId="0" applyFill="1" applyBorder="1" applyAlignment="1" applyProtection="1">
      <alignment vertical="center"/>
      <protection locked="0"/>
    </xf>
    <xf numFmtId="0" fontId="6" fillId="0" borderId="0" xfId="0" applyFont="1" applyFill="1" applyBorder="1" applyAlignment="1"/>
    <xf numFmtId="0" fontId="0" fillId="0" borderId="0" xfId="0" applyFill="1" applyBorder="1" applyAlignment="1">
      <alignment vertical="center" wrapText="1"/>
    </xf>
    <xf numFmtId="166" fontId="0" fillId="0" borderId="0" xfId="1" applyNumberFormat="1" applyFont="1" applyFill="1" applyBorder="1" applyAlignment="1" applyProtection="1">
      <alignment horizontal="center" vertical="center"/>
      <protection locked="0"/>
    </xf>
    <xf numFmtId="166" fontId="0" fillId="0" borderId="0" xfId="1" applyNumberFormat="1" applyFont="1" applyFill="1" applyBorder="1" applyAlignment="1">
      <alignment horizontal="left" vertical="center"/>
    </xf>
    <xf numFmtId="0" fontId="0" fillId="0" borderId="0" xfId="0" applyFont="1" applyFill="1" applyBorder="1"/>
    <xf numFmtId="0" fontId="0" fillId="0" borderId="0" xfId="0" applyFill="1" applyBorder="1" applyAlignment="1">
      <alignment horizontal="left"/>
    </xf>
    <xf numFmtId="0" fontId="0" fillId="0" borderId="0" xfId="0" applyFill="1" applyBorder="1" applyAlignment="1">
      <alignment vertical="top" wrapText="1"/>
    </xf>
    <xf numFmtId="0" fontId="0" fillId="0" borderId="64" xfId="0" applyFill="1" applyBorder="1" applyAlignment="1">
      <alignment horizontal="left"/>
    </xf>
    <xf numFmtId="2" fontId="0" fillId="0" borderId="32" xfId="0" applyNumberFormat="1" applyFill="1" applyBorder="1" applyAlignment="1" applyProtection="1">
      <alignment horizontal="center" vertical="center"/>
      <protection locked="0"/>
    </xf>
    <xf numFmtId="2" fontId="0" fillId="0" borderId="81" xfId="0" applyNumberFormat="1" applyFill="1" applyBorder="1" applyAlignment="1">
      <alignment horizontal="center" vertical="center"/>
    </xf>
    <xf numFmtId="0" fontId="0" fillId="0" borderId="0" xfId="0" applyFill="1" applyBorder="1" applyAlignment="1" applyProtection="1">
      <alignment horizontal="center"/>
      <protection locked="0"/>
    </xf>
    <xf numFmtId="2" fontId="0" fillId="0" borderId="39" xfId="0" applyNumberFormat="1" applyFill="1" applyBorder="1" applyAlignment="1">
      <alignment horizontal="center" vertical="center"/>
    </xf>
    <xf numFmtId="2" fontId="0" fillId="0" borderId="45" xfId="0" applyNumberFormat="1" applyFill="1" applyBorder="1" applyAlignment="1">
      <alignment horizontal="center" vertical="center"/>
    </xf>
    <xf numFmtId="171" fontId="0" fillId="5" borderId="51" xfId="0" applyNumberFormat="1" applyFill="1" applyBorder="1" applyAlignment="1">
      <alignment horizontal="center" vertical="center"/>
    </xf>
    <xf numFmtId="166" fontId="0" fillId="0" borderId="84" xfId="1" applyNumberFormat="1" applyFont="1" applyBorder="1" applyAlignment="1" applyProtection="1">
      <alignment horizontal="center" vertical="center"/>
      <protection locked="0"/>
    </xf>
    <xf numFmtId="0" fontId="0" fillId="12" borderId="56" xfId="0" applyFill="1" applyBorder="1" applyAlignment="1">
      <alignment horizontal="left"/>
    </xf>
    <xf numFmtId="166" fontId="0" fillId="5" borderId="85" xfId="1" applyNumberFormat="1" applyFont="1" applyFill="1" applyBorder="1" applyAlignment="1">
      <alignment horizontal="center" vertical="center"/>
    </xf>
    <xf numFmtId="166" fontId="0" fillId="0" borderId="30" xfId="1" applyNumberFormat="1" applyFont="1" applyBorder="1" applyAlignment="1" applyProtection="1">
      <alignment horizontal="center" vertical="center"/>
      <protection locked="0"/>
    </xf>
    <xf numFmtId="0" fontId="0" fillId="12" borderId="85" xfId="0" applyFill="1" applyBorder="1" applyAlignment="1">
      <alignment horizontal="left"/>
    </xf>
    <xf numFmtId="0" fontId="0" fillId="12" borderId="59" xfId="0" applyFill="1" applyBorder="1" applyAlignment="1">
      <alignment horizontal="left"/>
    </xf>
    <xf numFmtId="166" fontId="0" fillId="5" borderId="77" xfId="1" applyNumberFormat="1" applyFont="1" applyFill="1" applyBorder="1" applyAlignment="1">
      <alignment horizontal="center" vertical="center"/>
    </xf>
    <xf numFmtId="166" fontId="0" fillId="0" borderId="66" xfId="1" applyNumberFormat="1" applyFont="1" applyBorder="1" applyAlignment="1" applyProtection="1">
      <alignment horizontal="center" vertical="center"/>
      <protection locked="0"/>
    </xf>
    <xf numFmtId="166" fontId="0" fillId="14" borderId="39" xfId="1" applyNumberFormat="1" applyFont="1" applyFill="1" applyBorder="1" applyAlignment="1" applyProtection="1">
      <alignment horizontal="center" vertical="center"/>
      <protection locked="0"/>
    </xf>
    <xf numFmtId="0" fontId="1" fillId="14" borderId="71" xfId="0" applyFont="1" applyFill="1" applyBorder="1" applyAlignment="1">
      <alignment horizontal="left"/>
    </xf>
    <xf numFmtId="166" fontId="0" fillId="13" borderId="39" xfId="1" applyNumberFormat="1" applyFont="1" applyFill="1" applyBorder="1" applyAlignment="1" applyProtection="1">
      <alignment horizontal="center" vertical="center"/>
      <protection locked="0"/>
    </xf>
    <xf numFmtId="166" fontId="0" fillId="13" borderId="39" xfId="1" applyNumberFormat="1" applyFont="1" applyFill="1" applyBorder="1" applyAlignment="1">
      <alignment horizontal="center" vertical="center"/>
    </xf>
    <xf numFmtId="0" fontId="0" fillId="13" borderId="70" xfId="0" applyFill="1" applyBorder="1" applyAlignment="1">
      <alignment horizontal="left"/>
    </xf>
    <xf numFmtId="166" fontId="0" fillId="5" borderId="78" xfId="1" applyNumberFormat="1" applyFont="1" applyFill="1" applyBorder="1" applyAlignment="1">
      <alignment horizontal="center" vertical="center"/>
    </xf>
    <xf numFmtId="166" fontId="0" fillId="5" borderId="59" xfId="1" applyNumberFormat="1" applyFont="1" applyFill="1" applyBorder="1" applyAlignment="1">
      <alignment horizontal="center" vertical="center"/>
    </xf>
    <xf numFmtId="166" fontId="0" fillId="14" borderId="84" xfId="1" applyNumberFormat="1" applyFont="1" applyFill="1" applyBorder="1" applyAlignment="1">
      <alignment horizontal="center" vertical="center"/>
    </xf>
    <xf numFmtId="0" fontId="1" fillId="14" borderId="70" xfId="0" applyFont="1" applyFill="1" applyBorder="1" applyAlignment="1">
      <alignment horizontal="left"/>
    </xf>
    <xf numFmtId="166" fontId="0" fillId="0" borderId="39" xfId="1" applyNumberFormat="1" applyFont="1" applyBorder="1" applyAlignment="1">
      <alignment horizontal="center" vertical="center"/>
    </xf>
    <xf numFmtId="172" fontId="0" fillId="17" borderId="30" xfId="0" applyNumberFormat="1" applyFill="1" applyBorder="1" applyAlignment="1">
      <alignment horizontal="center" vertical="center"/>
    </xf>
    <xf numFmtId="172" fontId="0" fillId="17" borderId="61" xfId="0" applyNumberFormat="1" applyFill="1" applyBorder="1" applyAlignment="1" applyProtection="1">
      <alignment horizontal="center" vertical="center"/>
      <protection locked="0"/>
    </xf>
    <xf numFmtId="172" fontId="0" fillId="17" borderId="61" xfId="0" applyNumberFormat="1" applyFill="1" applyBorder="1" applyAlignment="1">
      <alignment horizontal="center" vertical="center"/>
    </xf>
    <xf numFmtId="0" fontId="1" fillId="14" borderId="86" xfId="0" applyFont="1" applyFill="1" applyBorder="1" applyAlignment="1">
      <alignment horizontal="left"/>
    </xf>
    <xf numFmtId="172" fontId="0" fillId="0" borderId="71" xfId="0" applyNumberFormat="1" applyBorder="1" applyAlignment="1">
      <alignment horizontal="center" vertical="center"/>
    </xf>
    <xf numFmtId="0" fontId="0" fillId="4" borderId="71" xfId="0" applyFill="1" applyBorder="1" applyAlignment="1">
      <alignment horizontal="center" vertical="center" wrapText="1"/>
    </xf>
    <xf numFmtId="172" fontId="0" fillId="13" borderId="84" xfId="0" applyNumberFormat="1" applyFill="1" applyBorder="1" applyAlignment="1">
      <alignment horizontal="center" vertical="center"/>
    </xf>
    <xf numFmtId="173" fontId="0" fillId="5" borderId="85" xfId="0" applyNumberFormat="1" applyFill="1" applyBorder="1" applyAlignment="1">
      <alignment horizontal="center" vertical="center"/>
    </xf>
    <xf numFmtId="173" fontId="0" fillId="0" borderId="84" xfId="0" applyNumberFormat="1" applyBorder="1" applyAlignment="1" applyProtection="1">
      <alignment horizontal="center" vertical="center"/>
      <protection locked="0"/>
    </xf>
    <xf numFmtId="173" fontId="0" fillId="0" borderId="63" xfId="0" applyNumberFormat="1" applyBorder="1" applyAlignment="1">
      <alignment horizontal="center" vertical="center"/>
    </xf>
    <xf numFmtId="173" fontId="0" fillId="0" borderId="30" xfId="0" applyNumberFormat="1" applyBorder="1" applyAlignment="1" applyProtection="1">
      <alignment horizontal="center" vertical="center"/>
      <protection locked="0"/>
    </xf>
    <xf numFmtId="173" fontId="0" fillId="0" borderId="76" xfId="0" applyNumberFormat="1" applyBorder="1" applyAlignment="1">
      <alignment horizontal="center" vertical="center"/>
    </xf>
    <xf numFmtId="0" fontId="0" fillId="12" borderId="47" xfId="0" applyFill="1" applyBorder="1" applyAlignment="1">
      <alignment horizontal="left"/>
    </xf>
    <xf numFmtId="0" fontId="0" fillId="12" borderId="42" xfId="0" applyFill="1" applyBorder="1" applyAlignment="1">
      <alignment horizontal="left"/>
    </xf>
    <xf numFmtId="173" fontId="0" fillId="0" borderId="50" xfId="0" applyNumberFormat="1" applyBorder="1" applyAlignment="1" applyProtection="1">
      <alignment horizontal="center" vertical="center"/>
      <protection locked="0"/>
    </xf>
    <xf numFmtId="173" fontId="0" fillId="0" borderId="55" xfId="0" applyNumberFormat="1" applyBorder="1" applyAlignment="1">
      <alignment horizontal="center" vertical="center"/>
    </xf>
    <xf numFmtId="10" fontId="0" fillId="0" borderId="0" xfId="1" applyNumberFormat="1" applyFont="1" applyFill="1" applyBorder="1" applyAlignment="1">
      <alignment horizontal="center" vertical="center"/>
    </xf>
    <xf numFmtId="2" fontId="0" fillId="2" borderId="0" xfId="0" applyNumberFormat="1" applyFill="1"/>
    <xf numFmtId="164" fontId="0" fillId="0" borderId="1" xfId="1" applyNumberFormat="1" applyFont="1" applyBorder="1"/>
    <xf numFmtId="177" fontId="0" fillId="0" borderId="1" xfId="1" applyNumberFormat="1" applyFont="1" applyBorder="1"/>
    <xf numFmtId="2" fontId="0" fillId="0" borderId="1" xfId="1" applyNumberFormat="1" applyFont="1" applyBorder="1" applyAlignment="1">
      <alignment horizontal="center" vertical="center"/>
    </xf>
    <xf numFmtId="0" fontId="0" fillId="0" borderId="5" xfId="0" applyFill="1" applyBorder="1" applyAlignment="1"/>
    <xf numFmtId="0" fontId="0" fillId="0" borderId="72" xfId="0" applyFill="1" applyBorder="1" applyAlignment="1"/>
    <xf numFmtId="179" fontId="0" fillId="0" borderId="0" xfId="0" applyNumberFormat="1" applyFill="1" applyBorder="1" applyAlignment="1">
      <alignment horizontal="center"/>
    </xf>
    <xf numFmtId="2" fontId="0" fillId="0" borderId="72" xfId="0" applyNumberFormat="1" applyFill="1" applyBorder="1"/>
    <xf numFmtId="0" fontId="1" fillId="0" borderId="72" xfId="0" applyFont="1" applyFill="1" applyBorder="1"/>
    <xf numFmtId="0" fontId="0" fillId="0" borderId="5" xfId="0" applyFill="1" applyBorder="1"/>
    <xf numFmtId="2" fontId="0" fillId="0" borderId="0" xfId="0" applyNumberFormat="1" applyFill="1" applyBorder="1" applyAlignment="1">
      <alignment horizontal="center"/>
    </xf>
    <xf numFmtId="175" fontId="0" fillId="0" borderId="0" xfId="0" applyNumberFormat="1" applyFill="1" applyBorder="1" applyAlignment="1">
      <alignment horizontal="center"/>
    </xf>
    <xf numFmtId="166" fontId="0" fillId="0" borderId="0" xfId="0" applyNumberFormat="1" applyFill="1" applyBorder="1" applyAlignment="1"/>
    <xf numFmtId="2" fontId="0" fillId="2" borderId="1" xfId="0" applyNumberFormat="1" applyFill="1" applyBorder="1" applyAlignment="1"/>
    <xf numFmtId="177" fontId="0" fillId="0" borderId="1" xfId="0" applyNumberFormat="1" applyFill="1" applyBorder="1" applyAlignment="1"/>
    <xf numFmtId="177" fontId="0" fillId="0" borderId="1" xfId="0" applyNumberFormat="1" applyBorder="1"/>
    <xf numFmtId="177" fontId="0" fillId="0" borderId="0" xfId="0" applyNumberFormat="1" applyFill="1" applyBorder="1"/>
    <xf numFmtId="168" fontId="0" fillId="0" borderId="0" xfId="0" applyNumberFormat="1" applyFill="1" applyBorder="1"/>
    <xf numFmtId="0" fontId="0" fillId="10" borderId="1" xfId="0" applyFill="1" applyBorder="1"/>
    <xf numFmtId="2" fontId="0" fillId="0" borderId="1" xfId="0" applyNumberFormat="1" applyFont="1" applyFill="1" applyBorder="1"/>
    <xf numFmtId="0" fontId="0" fillId="0" borderId="0" xfId="0" applyFont="1"/>
    <xf numFmtId="2" fontId="0" fillId="2" borderId="3" xfId="0" applyNumberFormat="1" applyFill="1" applyBorder="1" applyAlignment="1"/>
    <xf numFmtId="167" fontId="0" fillId="0" borderId="1" xfId="0" applyNumberFormat="1" applyFill="1" applyBorder="1" applyAlignment="1"/>
    <xf numFmtId="176" fontId="0" fillId="0" borderId="1" xfId="0" applyNumberFormat="1" applyFill="1" applyBorder="1" applyAlignment="1">
      <alignment horizontal="center"/>
    </xf>
    <xf numFmtId="0" fontId="0" fillId="7" borderId="6" xfId="0" applyFill="1" applyBorder="1" applyAlignment="1"/>
    <xf numFmtId="0" fontId="0" fillId="0" borderId="0" xfId="0" applyAlignment="1"/>
    <xf numFmtId="178" fontId="0" fillId="0" borderId="0" xfId="0" applyNumberFormat="1"/>
    <xf numFmtId="164" fontId="0" fillId="0" borderId="0" xfId="0" applyNumberFormat="1" applyFill="1" applyBorder="1" applyAlignment="1"/>
    <xf numFmtId="10" fontId="0" fillId="0" borderId="0" xfId="0" applyNumberFormat="1"/>
    <xf numFmtId="168"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171" fontId="0" fillId="0" borderId="76" xfId="0" applyNumberFormat="1" applyBorder="1" applyAlignment="1">
      <alignment horizontal="center" vertical="center"/>
    </xf>
    <xf numFmtId="164" fontId="0" fillId="0" borderId="1" xfId="1" applyNumberFormat="1" applyFont="1" applyFill="1" applyBorder="1" applyAlignment="1">
      <alignment horizontal="center"/>
    </xf>
    <xf numFmtId="0" fontId="0" fillId="0" borderId="1" xfId="0" applyFill="1" applyBorder="1" applyAlignment="1">
      <alignment horizontal="center"/>
    </xf>
    <xf numFmtId="164" fontId="0" fillId="0" borderId="1" xfId="0" applyNumberFormat="1" applyFill="1" applyBorder="1" applyAlignment="1" applyProtection="1">
      <alignment horizontal="center" vertical="center"/>
      <protection locked="0"/>
    </xf>
    <xf numFmtId="166" fontId="0" fillId="0" borderId="1" xfId="0" applyNumberFormat="1" applyFill="1" applyBorder="1" applyAlignment="1" applyProtection="1">
      <alignment horizontal="center" vertical="center"/>
      <protection locked="0"/>
    </xf>
    <xf numFmtId="168" fontId="0" fillId="0" borderId="1" xfId="0" applyNumberFormat="1" applyBorder="1" applyProtection="1">
      <protection locked="0"/>
    </xf>
    <xf numFmtId="164" fontId="0" fillId="0" borderId="1" xfId="1" applyNumberFormat="1" applyFont="1" applyFill="1" applyBorder="1" applyAlignment="1" applyProtection="1">
      <protection locked="0"/>
    </xf>
    <xf numFmtId="164" fontId="0" fillId="0" borderId="1" xfId="1" applyNumberFormat="1" applyFont="1" applyFill="1" applyBorder="1" applyAlignment="1" applyProtection="1">
      <alignment horizontal="center"/>
      <protection locked="0"/>
    </xf>
    <xf numFmtId="164" fontId="0" fillId="0" borderId="1" xfId="0" applyNumberFormat="1" applyFill="1" applyBorder="1" applyAlignment="1" applyProtection="1">
      <protection locked="0"/>
    </xf>
    <xf numFmtId="164" fontId="0" fillId="0" borderId="1" xfId="0" applyNumberFormat="1" applyBorder="1" applyProtection="1">
      <protection locked="0"/>
    </xf>
    <xf numFmtId="175" fontId="0" fillId="0" borderId="1" xfId="0" applyNumberFormat="1" applyFill="1" applyBorder="1" applyAlignment="1" applyProtection="1">
      <protection locked="0"/>
    </xf>
    <xf numFmtId="164" fontId="12" fillId="16" borderId="1" xfId="0" applyNumberFormat="1" applyFont="1" applyFill="1" applyBorder="1" applyAlignment="1" applyProtection="1">
      <protection locked="0"/>
    </xf>
    <xf numFmtId="164" fontId="11" fillId="11" borderId="1" xfId="0" applyNumberFormat="1" applyFont="1" applyFill="1" applyBorder="1" applyAlignment="1" applyProtection="1">
      <protection locked="0"/>
    </xf>
    <xf numFmtId="175" fontId="0" fillId="0" borderId="1" xfId="0" applyNumberFormat="1" applyBorder="1" applyProtection="1">
      <protection locked="0"/>
    </xf>
    <xf numFmtId="175" fontId="0" fillId="0" borderId="1" xfId="0" applyNumberFormat="1" applyFill="1" applyBorder="1" applyProtection="1">
      <protection locked="0"/>
    </xf>
    <xf numFmtId="175" fontId="0" fillId="0" borderId="1" xfId="0" applyNumberFormat="1" applyFill="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2" fontId="0" fillId="0" borderId="43" xfId="0" applyNumberFormat="1" applyFill="1" applyBorder="1" applyAlignment="1" applyProtection="1">
      <alignment horizontal="center" vertical="center"/>
      <protection locked="0"/>
    </xf>
    <xf numFmtId="164" fontId="0" fillId="0" borderId="1" xfId="1" applyNumberFormat="1" applyFont="1" applyFill="1" applyBorder="1" applyAlignment="1" applyProtection="1">
      <alignment horizontal="center"/>
      <protection locked="0"/>
    </xf>
    <xf numFmtId="0" fontId="0" fillId="4" borderId="1" xfId="0" applyFill="1" applyBorder="1" applyAlignment="1">
      <alignment horizontal="center"/>
    </xf>
    <xf numFmtId="180" fontId="0" fillId="0" borderId="1" xfId="0" applyNumberFormat="1" applyBorder="1" applyAlignment="1">
      <alignment horizontal="center"/>
    </xf>
    <xf numFmtId="0" fontId="0" fillId="0" borderId="1" xfId="0" applyBorder="1" applyAlignment="1">
      <alignment horizontal="center"/>
    </xf>
    <xf numFmtId="0" fontId="0" fillId="0" borderId="4" xfId="0" applyFill="1" applyBorder="1" applyAlignment="1"/>
    <xf numFmtId="179" fontId="0" fillId="0" borderId="0" xfId="0" applyNumberFormat="1" applyFill="1" applyBorder="1" applyAlignment="1">
      <alignment vertical="center"/>
    </xf>
    <xf numFmtId="179" fontId="0" fillId="7" borderId="1" xfId="0" applyNumberFormat="1" applyFill="1" applyBorder="1" applyAlignment="1">
      <alignment horizontal="center" vertical="center"/>
    </xf>
    <xf numFmtId="168" fontId="0" fillId="0" borderId="0" xfId="0" applyNumberFormat="1" applyFill="1" applyBorder="1" applyProtection="1">
      <protection locked="0"/>
    </xf>
    <xf numFmtId="0" fontId="0" fillId="0" borderId="72" xfId="0" applyFill="1" applyBorder="1" applyAlignment="1">
      <alignment horizontal="left"/>
    </xf>
    <xf numFmtId="0" fontId="0" fillId="2" borderId="1" xfId="0" applyFill="1" applyBorder="1"/>
    <xf numFmtId="0" fontId="0" fillId="2" borderId="0" xfId="0" applyFill="1"/>
    <xf numFmtId="0" fontId="0" fillId="3" borderId="1" xfId="0" applyFill="1" applyBorder="1"/>
    <xf numFmtId="0" fontId="0" fillId="3" borderId="0" xfId="0" applyFill="1"/>
    <xf numFmtId="0" fontId="0" fillId="6" borderId="1" xfId="0" applyFill="1" applyBorder="1"/>
    <xf numFmtId="171" fontId="0" fillId="3" borderId="1" xfId="0" applyNumberFormat="1" applyFill="1" applyBorder="1"/>
    <xf numFmtId="167" fontId="0" fillId="3" borderId="0" xfId="0" applyNumberFormat="1" applyFill="1"/>
    <xf numFmtId="164" fontId="0" fillId="3" borderId="1" xfId="0" applyNumberFormat="1" applyFill="1" applyBorder="1"/>
    <xf numFmtId="167" fontId="0" fillId="3" borderId="1" xfId="0" applyNumberFormat="1" applyFill="1" applyBorder="1"/>
    <xf numFmtId="0" fontId="0" fillId="3" borderId="25" xfId="0" applyFill="1" applyBorder="1"/>
    <xf numFmtId="167" fontId="0" fillId="3" borderId="25" xfId="0" applyNumberFormat="1" applyFill="1" applyBorder="1"/>
    <xf numFmtId="0" fontId="0" fillId="3" borderId="3" xfId="0" applyFill="1" applyBorder="1"/>
    <xf numFmtId="181" fontId="0" fillId="6" borderId="1" xfId="0" applyNumberFormat="1" applyFill="1" applyBorder="1"/>
    <xf numFmtId="0" fontId="0" fillId="2" borderId="9" xfId="0" applyFill="1" applyBorder="1"/>
    <xf numFmtId="0" fontId="0" fillId="0" borderId="25" xfId="0" applyBorder="1"/>
    <xf numFmtId="0" fontId="0" fillId="2" borderId="75" xfId="0" applyFill="1" applyBorder="1"/>
    <xf numFmtId="0" fontId="0" fillId="2" borderId="7" xfId="0" applyFill="1" applyBorder="1"/>
    <xf numFmtId="0" fontId="0" fillId="0" borderId="1" xfId="0" applyBorder="1" applyAlignment="1">
      <alignment horizontal="right"/>
    </xf>
    <xf numFmtId="0" fontId="0" fillId="18" borderId="1" xfId="0" applyFill="1" applyBorder="1"/>
    <xf numFmtId="0" fontId="0" fillId="2" borderId="25" xfId="0" applyFill="1" applyBorder="1"/>
    <xf numFmtId="164" fontId="0" fillId="3" borderId="3" xfId="0" applyNumberFormat="1" applyFill="1" applyBorder="1"/>
    <xf numFmtId="164" fontId="0" fillId="3" borderId="25" xfId="0" applyNumberFormat="1" applyFill="1" applyBorder="1"/>
    <xf numFmtId="167" fontId="0" fillId="3" borderId="3" xfId="0" applyNumberFormat="1" applyFill="1" applyBorder="1"/>
    <xf numFmtId="168" fontId="0" fillId="0" borderId="1" xfId="1" applyNumberFormat="1" applyFont="1" applyFill="1" applyBorder="1" applyAlignment="1" applyProtection="1">
      <protection locked="0"/>
    </xf>
    <xf numFmtId="168" fontId="0" fillId="0" borderId="1" xfId="1" applyNumberFormat="1" applyFont="1" applyFill="1" applyBorder="1" applyAlignment="1" applyProtection="1">
      <alignment horizontal="center"/>
      <protection locked="0"/>
    </xf>
    <xf numFmtId="0" fontId="9" fillId="0" borderId="0" xfId="0" applyFont="1" applyAlignment="1">
      <alignment horizontal="center" wrapText="1"/>
    </xf>
    <xf numFmtId="0" fontId="10" fillId="0" borderId="0" xfId="0" applyFont="1" applyAlignment="1">
      <alignment vertical="top"/>
    </xf>
    <xf numFmtId="0" fontId="0" fillId="0" borderId="0" xfId="0" applyAlignment="1">
      <alignment horizontal="left" vertical="top" wrapText="1"/>
    </xf>
    <xf numFmtId="0" fontId="9" fillId="0" borderId="0" xfId="0" applyFont="1" applyAlignment="1">
      <alignment horizontal="center" wrapText="1"/>
    </xf>
    <xf numFmtId="0" fontId="0" fillId="4" borderId="25" xfId="0" applyFill="1" applyBorder="1" applyAlignment="1">
      <alignment horizontal="center" vertical="center" wrapText="1"/>
    </xf>
    <xf numFmtId="0" fontId="0" fillId="4" borderId="5" xfId="0" applyFill="1" applyBorder="1" applyAlignment="1">
      <alignment horizontal="center" vertical="center" wrapText="1"/>
    </xf>
    <xf numFmtId="0" fontId="0" fillId="4" borderId="83" xfId="0" applyFill="1" applyBorder="1" applyAlignment="1">
      <alignment horizontal="center" vertical="center" wrapText="1"/>
    </xf>
    <xf numFmtId="0" fontId="0" fillId="4" borderId="3" xfId="0" applyFill="1" applyBorder="1" applyAlignment="1">
      <alignment horizontal="center" vertical="center" wrapText="1"/>
    </xf>
    <xf numFmtId="0" fontId="13" fillId="0" borderId="0" xfId="0" applyFont="1" applyAlignment="1">
      <alignment horizontal="center" wrapText="1"/>
    </xf>
    <xf numFmtId="0" fontId="0" fillId="3" borderId="1" xfId="0" applyFill="1" applyBorder="1" applyAlignment="1">
      <alignment horizontal="center"/>
    </xf>
    <xf numFmtId="0" fontId="0" fillId="4" borderId="6" xfId="0" applyFill="1" applyBorder="1" applyAlignment="1">
      <alignment horizontal="center" wrapText="1"/>
    </xf>
    <xf numFmtId="0" fontId="0" fillId="4" borderId="9" xfId="0" applyFill="1" applyBorder="1" applyAlignment="1">
      <alignment horizontal="center" wrapText="1"/>
    </xf>
    <xf numFmtId="0" fontId="0" fillId="3" borderId="6" xfId="0" applyFill="1" applyBorder="1" applyAlignment="1">
      <alignment horizont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4" borderId="1" xfId="0" applyFill="1" applyBorder="1" applyAlignment="1">
      <alignment horizontal="center" wrapText="1"/>
    </xf>
    <xf numFmtId="0" fontId="0" fillId="4" borderId="1" xfId="0" applyFill="1" applyBorder="1" applyAlignment="1">
      <alignment horizontal="center"/>
    </xf>
    <xf numFmtId="10" fontId="0" fillId="0" borderId="1" xfId="1" applyNumberFormat="1" applyFont="1" applyBorder="1" applyAlignment="1" applyProtection="1">
      <alignment horizontal="center"/>
      <protection locked="0"/>
    </xf>
    <xf numFmtId="168" fontId="0" fillId="0" borderId="1" xfId="0" applyNumberFormat="1" applyBorder="1" applyAlignment="1" applyProtection="1">
      <alignment horizontal="center"/>
      <protection locked="0"/>
    </xf>
    <xf numFmtId="0" fontId="3" fillId="0" borderId="0" xfId="0" applyFont="1" applyAlignment="1">
      <alignment horizontal="center"/>
    </xf>
    <xf numFmtId="0" fontId="0" fillId="3" borderId="79" xfId="0" applyFill="1" applyBorder="1" applyAlignment="1">
      <alignment horizontal="center" wrapText="1"/>
    </xf>
    <xf numFmtId="0" fontId="0" fillId="3" borderId="1" xfId="0" applyFill="1" applyBorder="1" applyAlignment="1">
      <alignment horizontal="center" wrapText="1"/>
    </xf>
    <xf numFmtId="0" fontId="0" fillId="0" borderId="7" xfId="0" applyFill="1" applyBorder="1" applyAlignment="1">
      <alignment horizontal="left" vertical="center"/>
    </xf>
    <xf numFmtId="0" fontId="0" fillId="0" borderId="28" xfId="0" applyFill="1" applyBorder="1" applyAlignment="1">
      <alignment horizontal="left" vertical="center"/>
    </xf>
    <xf numFmtId="0" fontId="0" fillId="4" borderId="1" xfId="0" applyFill="1" applyBorder="1" applyAlignment="1">
      <alignment horizontal="left"/>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7" xfId="0" applyFont="1" applyBorder="1" applyAlignment="1">
      <alignment horizontal="center" vertical="center"/>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0" borderId="22" xfId="0" applyFill="1" applyBorder="1" applyAlignment="1">
      <alignment horizontal="center"/>
    </xf>
    <xf numFmtId="0" fontId="0" fillId="0" borderId="11" xfId="0" applyFill="1" applyBorder="1" applyAlignment="1">
      <alignment horizontal="center"/>
    </xf>
    <xf numFmtId="0" fontId="0" fillId="0" borderId="16" xfId="0" applyFill="1" applyBorder="1" applyAlignment="1">
      <alignment horizontal="center" vertical="center"/>
    </xf>
    <xf numFmtId="0" fontId="0" fillId="0" borderId="0" xfId="0" applyFill="1" applyBorder="1" applyAlignment="1">
      <alignment horizontal="center" vertical="center"/>
    </xf>
    <xf numFmtId="0" fontId="0" fillId="4" borderId="6" xfId="0" applyFill="1" applyBorder="1" applyAlignment="1">
      <alignment horizontal="center"/>
    </xf>
    <xf numFmtId="0" fontId="0" fillId="4" borderId="9" xfId="0" applyFill="1" applyBorder="1" applyAlignment="1">
      <alignment horizontal="center"/>
    </xf>
    <xf numFmtId="0" fontId="0" fillId="4" borderId="1" xfId="0" applyFill="1" applyBorder="1" applyAlignment="1">
      <alignment horizontal="left" vertical="center"/>
    </xf>
    <xf numFmtId="0" fontId="0" fillId="3" borderId="14" xfId="0" applyFill="1" applyBorder="1" applyAlignment="1">
      <alignment horizontal="center" wrapText="1"/>
    </xf>
    <xf numFmtId="180" fontId="0" fillId="0" borderId="1" xfId="0" applyNumberFormat="1" applyBorder="1" applyAlignment="1">
      <alignment horizontal="center"/>
    </xf>
    <xf numFmtId="174" fontId="0" fillId="0" borderId="7" xfId="0" applyNumberFormat="1" applyFill="1" applyBorder="1" applyAlignment="1">
      <alignment horizontal="center"/>
    </xf>
    <xf numFmtId="174" fontId="0" fillId="0" borderId="28" xfId="0" applyNumberFormat="1" applyFill="1" applyBorder="1" applyAlignment="1">
      <alignment horizontal="center"/>
    </xf>
    <xf numFmtId="0" fontId="0" fillId="3" borderId="14" xfId="0" applyFill="1" applyBorder="1" applyAlignment="1">
      <alignment horizontal="center"/>
    </xf>
    <xf numFmtId="180" fontId="0" fillId="0" borderId="1" xfId="0" applyNumberFormat="1" applyBorder="1" applyAlignment="1" applyProtection="1">
      <alignment horizontal="center"/>
      <protection locked="0"/>
    </xf>
    <xf numFmtId="0" fontId="0" fillId="0" borderId="7" xfId="0" applyFill="1" applyBorder="1" applyAlignment="1">
      <alignment horizontal="center"/>
    </xf>
    <xf numFmtId="0" fontId="0" fillId="0" borderId="28" xfId="0" applyFill="1" applyBorder="1" applyAlignment="1">
      <alignment horizontal="center"/>
    </xf>
    <xf numFmtId="0" fontId="0" fillId="0" borderId="4" xfId="0" applyFill="1" applyBorder="1" applyAlignment="1">
      <alignment horizontal="center"/>
    </xf>
    <xf numFmtId="0" fontId="0" fillId="0" borderId="10" xfId="0" applyFill="1" applyBorder="1" applyAlignment="1">
      <alignment horizontal="center"/>
    </xf>
    <xf numFmtId="174" fontId="0" fillId="0" borderId="0" xfId="0" applyNumberFormat="1" applyBorder="1" applyAlignment="1">
      <alignment horizontal="center"/>
    </xf>
    <xf numFmtId="0" fontId="0" fillId="6" borderId="5" xfId="0" applyFill="1" applyBorder="1" applyAlignment="1">
      <alignment horizontal="center" vertical="center"/>
    </xf>
    <xf numFmtId="0" fontId="0" fillId="3" borderId="8" xfId="0" applyFill="1" applyBorder="1" applyAlignment="1">
      <alignment horizontal="center"/>
    </xf>
    <xf numFmtId="0" fontId="0" fillId="3" borderId="9" xfId="0" applyFill="1" applyBorder="1" applyAlignment="1">
      <alignment horizontal="center"/>
    </xf>
    <xf numFmtId="0" fontId="0" fillId="8" borderId="16" xfId="0" applyFill="1" applyBorder="1" applyAlignment="1">
      <alignment horizontal="center" vertical="center"/>
    </xf>
    <xf numFmtId="0" fontId="0" fillId="8" borderId="4" xfId="0" applyFill="1" applyBorder="1" applyAlignment="1">
      <alignment horizontal="center" vertical="center"/>
    </xf>
    <xf numFmtId="180" fontId="0" fillId="0" borderId="28" xfId="0" applyNumberFormat="1" applyBorder="1" applyAlignment="1">
      <alignment horizontal="center"/>
    </xf>
    <xf numFmtId="180" fontId="0" fillId="0" borderId="7" xfId="0" applyNumberForma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180" fontId="0" fillId="0" borderId="17" xfId="0" applyNumberFormat="1" applyBorder="1" applyAlignment="1">
      <alignment horizontal="center"/>
    </xf>
    <xf numFmtId="0" fontId="0" fillId="3" borderId="1" xfId="0" applyFill="1" applyBorder="1" applyAlignment="1">
      <alignment horizontal="center" vertical="center"/>
    </xf>
    <xf numFmtId="0" fontId="0" fillId="4" borderId="25" xfId="0" applyFill="1" applyBorder="1" applyAlignment="1">
      <alignment horizontal="center" vertical="center"/>
    </xf>
    <xf numFmtId="0" fontId="0" fillId="8" borderId="20" xfId="0" applyFill="1" applyBorder="1" applyAlignment="1">
      <alignment horizontal="center" vertical="center"/>
    </xf>
    <xf numFmtId="0" fontId="0" fillId="8" borderId="24" xfId="0" applyFill="1" applyBorder="1" applyAlignment="1">
      <alignment horizontal="center" vertical="center"/>
    </xf>
    <xf numFmtId="180" fontId="0" fillId="0" borderId="2" xfId="0" applyNumberFormat="1" applyBorder="1" applyAlignment="1">
      <alignment horizontal="center"/>
    </xf>
    <xf numFmtId="0" fontId="0" fillId="6" borderId="2" xfId="0" applyFill="1" applyBorder="1" applyAlignment="1">
      <alignment horizontal="center" vertical="center"/>
    </xf>
    <xf numFmtId="0" fontId="0" fillId="4" borderId="5" xfId="0" applyFill="1" applyBorder="1" applyAlignment="1">
      <alignment horizontal="center" wrapText="1"/>
    </xf>
    <xf numFmtId="0" fontId="0" fillId="4" borderId="3" xfId="0" applyFill="1" applyBorder="1" applyAlignment="1">
      <alignment horizontal="center" wrapText="1"/>
    </xf>
    <xf numFmtId="0" fontId="0" fillId="4" borderId="6" xfId="0" applyFill="1" applyBorder="1" applyAlignment="1" applyProtection="1">
      <alignment horizontal="left" vertical="center"/>
      <protection locked="0"/>
    </xf>
    <xf numFmtId="0" fontId="0" fillId="4" borderId="9" xfId="0" applyFill="1" applyBorder="1" applyAlignment="1" applyProtection="1">
      <alignment horizontal="left" vertical="center"/>
      <protection locked="0"/>
    </xf>
    <xf numFmtId="0" fontId="0" fillId="0" borderId="0" xfId="0" applyFill="1" applyBorder="1" applyAlignment="1">
      <alignment horizontal="center"/>
    </xf>
    <xf numFmtId="0" fontId="0" fillId="0" borderId="0" xfId="0" applyFill="1" applyBorder="1" applyAlignment="1">
      <alignment horizontal="left" vertical="center"/>
    </xf>
    <xf numFmtId="0" fontId="0" fillId="0" borderId="1" xfId="0" applyBorder="1" applyAlignment="1" applyProtection="1">
      <alignment horizontal="center"/>
      <protection locked="0"/>
    </xf>
    <xf numFmtId="9" fontId="0" fillId="0" borderId="1" xfId="1" applyFont="1" applyBorder="1" applyAlignment="1" applyProtection="1">
      <alignment horizontal="center"/>
      <protection locked="0"/>
    </xf>
    <xf numFmtId="170" fontId="0" fillId="0" borderId="1" xfId="0" applyNumberFormat="1" applyFill="1" applyBorder="1" applyAlignment="1" applyProtection="1">
      <alignment horizontal="center"/>
      <protection locked="0"/>
    </xf>
    <xf numFmtId="0" fontId="0" fillId="4" borderId="5" xfId="0" applyFill="1" applyBorder="1" applyAlignment="1">
      <alignment horizontal="center"/>
    </xf>
    <xf numFmtId="0" fontId="0" fillId="4" borderId="3" xfId="0" applyFill="1" applyBorder="1" applyAlignment="1">
      <alignment horizontal="center"/>
    </xf>
    <xf numFmtId="0" fontId="0" fillId="10" borderId="18" xfId="0" applyFill="1" applyBorder="1" applyAlignment="1">
      <alignment horizontal="center" vertical="center"/>
    </xf>
    <xf numFmtId="0" fontId="0" fillId="10" borderId="9" xfId="0" applyFill="1" applyBorder="1" applyAlignment="1">
      <alignment horizontal="center" vertical="center"/>
    </xf>
    <xf numFmtId="0" fontId="8" fillId="5" borderId="25" xfId="0" applyFont="1" applyFill="1" applyBorder="1" applyAlignment="1">
      <alignment horizontal="center" vertical="center"/>
    </xf>
    <xf numFmtId="0" fontId="8" fillId="5" borderId="3" xfId="0" applyFont="1" applyFill="1" applyBorder="1" applyAlignment="1">
      <alignment horizontal="center" vertical="center"/>
    </xf>
    <xf numFmtId="167" fontId="0" fillId="0" borderId="18" xfId="0" applyNumberFormat="1" applyBorder="1" applyAlignment="1">
      <alignment horizontal="center" vertical="center"/>
    </xf>
    <xf numFmtId="167" fontId="0" fillId="0" borderId="9" xfId="0" applyNumberFormat="1"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3" borderId="27" xfId="0" applyFill="1" applyBorder="1" applyAlignment="1">
      <alignment horizontal="center" wrapText="1"/>
    </xf>
    <xf numFmtId="0" fontId="0" fillId="3" borderId="75" xfId="0" applyFill="1" applyBorder="1" applyAlignment="1">
      <alignment horizontal="center" wrapText="1"/>
    </xf>
    <xf numFmtId="0" fontId="0" fillId="3" borderId="22" xfId="0" applyFill="1" applyBorder="1" applyAlignment="1">
      <alignment horizontal="center" wrapText="1"/>
    </xf>
    <xf numFmtId="0" fontId="0" fillId="3" borderId="7" xfId="0" applyFill="1" applyBorder="1" applyAlignment="1">
      <alignment horizontal="center" wrapText="1"/>
    </xf>
    <xf numFmtId="0" fontId="0" fillId="4" borderId="64" xfId="0" applyFill="1" applyBorder="1" applyAlignment="1">
      <alignment horizontal="center" vertical="center" wrapText="1"/>
    </xf>
    <xf numFmtId="0" fontId="0" fillId="4" borderId="0" xfId="0" applyFill="1" applyBorder="1" applyAlignment="1">
      <alignment horizontal="center" vertical="center" wrapText="1"/>
    </xf>
    <xf numFmtId="0" fontId="0" fillId="4" borderId="39" xfId="0" applyFill="1" applyBorder="1" applyAlignment="1">
      <alignment horizontal="center" vertical="center" wrapText="1"/>
    </xf>
    <xf numFmtId="0" fontId="0" fillId="0" borderId="45" xfId="0" applyFill="1" applyBorder="1" applyAlignment="1">
      <alignment horizontal="center"/>
    </xf>
    <xf numFmtId="0" fontId="0" fillId="0" borderId="52" xfId="0" applyFill="1" applyBorder="1" applyAlignment="1">
      <alignment horizontal="center"/>
    </xf>
    <xf numFmtId="0" fontId="0" fillId="13" borderId="1" xfId="0" applyFill="1" applyBorder="1" applyAlignment="1">
      <alignment horizontal="center"/>
    </xf>
    <xf numFmtId="0" fontId="0" fillId="15" borderId="31" xfId="0" applyFill="1" applyBorder="1" applyAlignment="1">
      <alignment horizontal="left"/>
    </xf>
    <xf numFmtId="0" fontId="0" fillId="15" borderId="49" xfId="0" applyFill="1" applyBorder="1" applyAlignment="1">
      <alignment horizontal="left"/>
    </xf>
    <xf numFmtId="0" fontId="0" fillId="13" borderId="63" xfId="0" applyFill="1" applyBorder="1" applyAlignment="1">
      <alignment horizontal="left"/>
    </xf>
    <xf numFmtId="0" fontId="0" fillId="13" borderId="52" xfId="0" applyFill="1" applyBorder="1" applyAlignment="1">
      <alignment horizontal="left"/>
    </xf>
    <xf numFmtId="0" fontId="0" fillId="4" borderId="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71" xfId="0" applyFill="1" applyBorder="1" applyAlignment="1">
      <alignment horizontal="center" vertical="center"/>
    </xf>
    <xf numFmtId="0" fontId="0" fillId="4" borderId="61" xfId="0" applyFill="1" applyBorder="1" applyAlignment="1">
      <alignment horizontal="center" vertical="center"/>
    </xf>
    <xf numFmtId="0" fontId="0" fillId="4" borderId="60" xfId="0" applyFill="1" applyBorder="1" applyAlignment="1">
      <alignment horizontal="center" vertical="center"/>
    </xf>
    <xf numFmtId="0" fontId="0" fillId="4" borderId="70" xfId="0" applyFill="1" applyBorder="1" applyAlignment="1">
      <alignment horizontal="center" vertical="center"/>
    </xf>
    <xf numFmtId="0" fontId="0" fillId="4" borderId="9"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4" xfId="0" applyFill="1" applyBorder="1" applyAlignment="1">
      <alignment horizontal="center" vertical="center"/>
    </xf>
    <xf numFmtId="0" fontId="0" fillId="4" borderId="57" xfId="0" applyFill="1" applyBorder="1" applyAlignment="1">
      <alignment horizontal="center" vertical="center"/>
    </xf>
    <xf numFmtId="0" fontId="0" fillId="4" borderId="7" xfId="0" applyFill="1" applyBorder="1" applyAlignment="1">
      <alignment horizontal="center" vertical="center" wrapText="1"/>
    </xf>
    <xf numFmtId="171" fontId="0" fillId="0" borderId="55" xfId="0" applyNumberFormat="1" applyBorder="1" applyAlignment="1">
      <alignment horizontal="center" vertical="center"/>
    </xf>
    <xf numFmtId="171" fontId="0" fillId="0" borderId="76" xfId="0" applyNumberFormat="1" applyBorder="1" applyAlignment="1">
      <alignment horizontal="center" vertical="center"/>
    </xf>
    <xf numFmtId="171" fontId="0" fillId="5" borderId="77" xfId="0" applyNumberFormat="1" applyFill="1" applyBorder="1" applyAlignment="1">
      <alignment horizontal="center" vertical="center"/>
    </xf>
    <xf numFmtId="171" fontId="0" fillId="5" borderId="78" xfId="0" applyNumberFormat="1" applyFill="1" applyBorder="1" applyAlignment="1">
      <alignment horizontal="center" vertical="center"/>
    </xf>
    <xf numFmtId="171" fontId="0" fillId="5" borderId="69" xfId="0" applyNumberFormat="1" applyFill="1" applyBorder="1" applyAlignment="1">
      <alignment horizontal="center" vertical="center"/>
    </xf>
    <xf numFmtId="0" fontId="0" fillId="4" borderId="62" xfId="0" applyFill="1" applyBorder="1" applyAlignment="1">
      <alignment horizontal="center" vertical="center"/>
    </xf>
    <xf numFmtId="0" fontId="0" fillId="13" borderId="31" xfId="0" applyFill="1" applyBorder="1" applyAlignment="1">
      <alignment horizontal="left"/>
    </xf>
    <xf numFmtId="0" fontId="0" fillId="13" borderId="49" xfId="0" applyFill="1" applyBorder="1" applyAlignment="1">
      <alignment horizontal="left"/>
    </xf>
    <xf numFmtId="0" fontId="1" fillId="3" borderId="31" xfId="0" applyFont="1" applyFill="1" applyBorder="1" applyAlignment="1">
      <alignment horizontal="left"/>
    </xf>
    <xf numFmtId="0" fontId="1" fillId="3" borderId="49" xfId="0" applyFont="1" applyFill="1" applyBorder="1" applyAlignment="1">
      <alignment horizontal="left"/>
    </xf>
    <xf numFmtId="0" fontId="1" fillId="3" borderId="32" xfId="0" applyFont="1" applyFill="1" applyBorder="1" applyAlignment="1">
      <alignment horizontal="left"/>
    </xf>
    <xf numFmtId="0" fontId="0" fillId="0" borderId="26" xfId="0" applyBorder="1" applyAlignment="1">
      <alignment horizontal="center" vertical="top" wrapText="1"/>
    </xf>
    <xf numFmtId="0" fontId="0" fillId="0" borderId="72" xfId="0" applyBorder="1" applyAlignment="1">
      <alignment horizontal="center" vertical="top" wrapText="1"/>
    </xf>
    <xf numFmtId="0" fontId="0" fillId="0" borderId="75" xfId="0" applyBorder="1" applyAlignment="1">
      <alignment horizontal="center" vertical="top" wrapText="1"/>
    </xf>
    <xf numFmtId="0" fontId="0" fillId="0" borderId="10"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28" xfId="0" applyBorder="1" applyAlignment="1">
      <alignment horizontal="center" vertical="top" wrapText="1"/>
    </xf>
    <xf numFmtId="0" fontId="0" fillId="0" borderId="11" xfId="0" applyBorder="1" applyAlignment="1">
      <alignment horizontal="center" vertical="top" wrapText="1"/>
    </xf>
    <xf numFmtId="0" fontId="0" fillId="0" borderId="7" xfId="0" applyBorder="1" applyAlignment="1">
      <alignment horizontal="center" vertical="top" wrapText="1"/>
    </xf>
    <xf numFmtId="0" fontId="0" fillId="4" borderId="25" xfId="0" applyFill="1" applyBorder="1" applyAlignment="1">
      <alignment horizontal="left" vertical="center"/>
    </xf>
    <xf numFmtId="0" fontId="0" fillId="4" borderId="3" xfId="0" applyFill="1" applyBorder="1" applyAlignment="1">
      <alignment horizontal="left" vertical="center"/>
    </xf>
    <xf numFmtId="0" fontId="0" fillId="0" borderId="25" xfId="0" applyBorder="1" applyAlignment="1" applyProtection="1">
      <alignment horizontal="right" vertical="center"/>
    </xf>
    <xf numFmtId="0" fontId="0" fillId="0" borderId="3" xfId="0" applyBorder="1" applyAlignment="1" applyProtection="1">
      <alignment horizontal="right" vertical="center"/>
    </xf>
    <xf numFmtId="166" fontId="0" fillId="0" borderId="1" xfId="0" applyNumberFormat="1" applyBorder="1" applyAlignment="1">
      <alignment horizontal="center"/>
    </xf>
    <xf numFmtId="0" fontId="0" fillId="0" borderId="1" xfId="0" applyBorder="1" applyAlignment="1">
      <alignment horizontal="center"/>
    </xf>
    <xf numFmtId="0" fontId="0" fillId="7" borderId="3" xfId="0" applyFill="1" applyBorder="1" applyAlignment="1">
      <alignment horizontal="center"/>
    </xf>
    <xf numFmtId="0" fontId="0" fillId="7" borderId="1" xfId="0" applyFill="1" applyBorder="1" applyAlignment="1">
      <alignment horizontal="center"/>
    </xf>
    <xf numFmtId="0" fontId="0" fillId="8" borderId="1" xfId="0" applyFill="1" applyBorder="1" applyAlignment="1">
      <alignment horizont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179" fontId="0" fillId="0" borderId="6" xfId="0" applyNumberFormat="1" applyBorder="1" applyAlignment="1">
      <alignment horizontal="center"/>
    </xf>
    <xf numFmtId="179" fontId="0" fillId="0" borderId="9" xfId="0" applyNumberFormat="1" applyBorder="1" applyAlignment="1">
      <alignment horizontal="center"/>
    </xf>
    <xf numFmtId="0" fontId="0" fillId="0" borderId="75" xfId="0" applyFill="1" applyBorder="1" applyAlignment="1">
      <alignment horizontal="center"/>
    </xf>
    <xf numFmtId="0" fontId="0" fillId="0" borderId="26" xfId="0" applyFill="1" applyBorder="1" applyAlignment="1">
      <alignment horizontal="center"/>
    </xf>
    <xf numFmtId="0" fontId="0" fillId="0" borderId="25" xfId="0" applyBorder="1" applyAlignment="1">
      <alignment horizontal="center" wrapText="1"/>
    </xf>
    <xf numFmtId="0" fontId="0" fillId="0" borderId="3" xfId="0" applyBorder="1" applyAlignment="1">
      <alignment horizontal="center" wrapText="1"/>
    </xf>
    <xf numFmtId="0" fontId="0" fillId="0" borderId="3" xfId="0" applyBorder="1" applyAlignment="1">
      <alignment horizontal="center"/>
    </xf>
    <xf numFmtId="0" fontId="0" fillId="0" borderId="1" xfId="0" applyBorder="1" applyAlignment="1">
      <alignment horizontal="left"/>
    </xf>
    <xf numFmtId="0" fontId="0" fillId="0" borderId="1" xfId="0" applyBorder="1" applyAlignment="1">
      <alignment horizontal="left" vertical="center"/>
    </xf>
    <xf numFmtId="0" fontId="0" fillId="3" borderId="17" xfId="0" applyFill="1" applyBorder="1" applyAlignment="1">
      <alignment horizontal="center" wrapText="1"/>
    </xf>
    <xf numFmtId="10" fontId="0" fillId="0" borderId="75" xfId="1" applyNumberFormat="1" applyFont="1" applyBorder="1" applyAlignment="1" applyProtection="1">
      <alignment horizontal="center"/>
      <protection locked="0"/>
    </xf>
    <xf numFmtId="10" fontId="0" fillId="0" borderId="26" xfId="1" applyNumberFormat="1" applyFont="1" applyBorder="1" applyAlignment="1" applyProtection="1">
      <alignment horizontal="center"/>
      <protection locked="0"/>
    </xf>
    <xf numFmtId="10" fontId="0" fillId="0" borderId="4" xfId="1" applyNumberFormat="1" applyFont="1" applyBorder="1" applyAlignment="1" applyProtection="1">
      <alignment horizontal="center"/>
      <protection locked="0"/>
    </xf>
    <xf numFmtId="10" fontId="0" fillId="0" borderId="10" xfId="1" applyNumberFormat="1" applyFont="1" applyBorder="1" applyAlignment="1" applyProtection="1">
      <alignment horizontal="center"/>
      <protection locked="0"/>
    </xf>
    <xf numFmtId="168" fontId="0" fillId="0" borderId="4" xfId="0" applyNumberFormat="1" applyBorder="1" applyAlignment="1" applyProtection="1">
      <alignment horizontal="center"/>
      <protection locked="0"/>
    </xf>
    <xf numFmtId="168" fontId="0" fillId="0" borderId="10" xfId="0" applyNumberFormat="1" applyBorder="1" applyAlignment="1" applyProtection="1">
      <alignment horizontal="center"/>
      <protection locked="0"/>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0" xfId="0" applyFill="1" applyBorder="1" applyAlignment="1">
      <alignment horizontal="center" wrapText="1"/>
    </xf>
    <xf numFmtId="0" fontId="0" fillId="0" borderId="25" xfId="0" applyFill="1" applyBorder="1" applyAlignment="1">
      <alignment horizontal="center"/>
    </xf>
    <xf numFmtId="0" fontId="0" fillId="0" borderId="5" xfId="0" applyFill="1" applyBorder="1" applyAlignment="1">
      <alignment horizontal="center"/>
    </xf>
    <xf numFmtId="168" fontId="0" fillId="0" borderId="1" xfId="1" applyNumberFormat="1" applyFont="1" applyBorder="1" applyAlignment="1" applyProtection="1">
      <alignment horizontal="center"/>
      <protection locked="0"/>
    </xf>
    <xf numFmtId="0" fontId="0" fillId="3" borderId="26" xfId="0" applyFill="1" applyBorder="1" applyAlignment="1">
      <alignment horizontal="center"/>
    </xf>
    <xf numFmtId="0" fontId="0" fillId="3" borderId="75" xfId="0" applyFill="1" applyBorder="1" applyAlignment="1">
      <alignment horizontal="center"/>
    </xf>
    <xf numFmtId="0" fontId="0" fillId="3" borderId="28" xfId="0" applyFill="1" applyBorder="1" applyAlignment="1">
      <alignment horizontal="center"/>
    </xf>
    <xf numFmtId="0" fontId="0" fillId="3" borderId="7" xfId="0" applyFill="1" applyBorder="1" applyAlignment="1">
      <alignment horizontal="center"/>
    </xf>
    <xf numFmtId="0" fontId="0" fillId="4" borderId="81" xfId="0" applyFill="1" applyBorder="1" applyAlignment="1">
      <alignment horizontal="left" vertical="center" wrapText="1"/>
    </xf>
    <xf numFmtId="0" fontId="0" fillId="4" borderId="60" xfId="0" applyFill="1" applyBorder="1" applyAlignment="1">
      <alignment horizontal="left" vertical="center" wrapText="1"/>
    </xf>
    <xf numFmtId="0" fontId="0" fillId="4" borderId="70" xfId="0" applyFill="1" applyBorder="1" applyAlignment="1">
      <alignment horizontal="left" vertical="center" wrapText="1"/>
    </xf>
    <xf numFmtId="0" fontId="0" fillId="4" borderId="71" xfId="0" applyFill="1" applyBorder="1" applyAlignment="1">
      <alignment horizontal="left"/>
    </xf>
    <xf numFmtId="0" fontId="0" fillId="4" borderId="65" xfId="0" applyFill="1" applyBorder="1" applyAlignment="1">
      <alignment horizontal="left"/>
    </xf>
    <xf numFmtId="0" fontId="0" fillId="4" borderId="81" xfId="0" applyFill="1" applyBorder="1" applyAlignment="1">
      <alignment horizontal="center" vertical="center"/>
    </xf>
    <xf numFmtId="0" fontId="0" fillId="4" borderId="25" xfId="0" applyFill="1" applyBorder="1" applyAlignment="1">
      <alignment horizontal="left"/>
    </xf>
    <xf numFmtId="0" fontId="0" fillId="4" borderId="3" xfId="0" applyFill="1" applyBorder="1" applyAlignment="1">
      <alignment horizontal="left"/>
    </xf>
    <xf numFmtId="0" fontId="0" fillId="0" borderId="25" xfId="0" applyBorder="1" applyAlignment="1" applyProtection="1">
      <alignment horizontal="center"/>
      <protection locked="0"/>
    </xf>
    <xf numFmtId="0" fontId="0" fillId="0" borderId="3" xfId="0" applyBorder="1" applyAlignment="1" applyProtection="1">
      <alignment horizontal="center"/>
      <protection locked="0"/>
    </xf>
    <xf numFmtId="0" fontId="0" fillId="3" borderId="31" xfId="0" applyFill="1" applyBorder="1" applyAlignment="1">
      <alignment horizontal="left"/>
    </xf>
    <xf numFmtId="0" fontId="0" fillId="3" borderId="32" xfId="0" applyFill="1" applyBorder="1" applyAlignment="1">
      <alignment horizontal="left"/>
    </xf>
    <xf numFmtId="0" fontId="0" fillId="0" borderId="26" xfId="0" applyBorder="1" applyAlignment="1">
      <alignment horizontal="left" vertical="top" wrapText="1"/>
    </xf>
    <xf numFmtId="0" fontId="0" fillId="0" borderId="72" xfId="0" applyBorder="1" applyAlignment="1">
      <alignment horizontal="left" vertical="top" wrapText="1"/>
    </xf>
    <xf numFmtId="0" fontId="0" fillId="0" borderId="75"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28" xfId="0" applyBorder="1"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3" borderId="49" xfId="0" applyFill="1" applyBorder="1" applyAlignment="1">
      <alignment horizontal="left"/>
    </xf>
    <xf numFmtId="0" fontId="0" fillId="0" borderId="25"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168" fontId="0" fillId="0" borderId="1" xfId="0" applyNumberFormat="1" applyFill="1" applyBorder="1" applyAlignment="1" applyProtection="1">
      <alignment horizontal="center"/>
      <protection locked="0"/>
    </xf>
    <xf numFmtId="168" fontId="0" fillId="0" borderId="10" xfId="0" applyNumberFormat="1" applyBorder="1" applyAlignment="1" applyProtection="1">
      <alignment horizontal="center" vertical="center"/>
      <protection locked="0"/>
    </xf>
    <xf numFmtId="168" fontId="0" fillId="0" borderId="4" xfId="0" applyNumberFormat="1" applyBorder="1" applyAlignment="1" applyProtection="1">
      <alignment horizontal="center" vertical="center"/>
      <protection locked="0"/>
    </xf>
    <xf numFmtId="168" fontId="0" fillId="0" borderId="28" xfId="0" applyNumberFormat="1" applyBorder="1" applyAlignment="1" applyProtection="1">
      <alignment horizontal="center" vertical="center"/>
      <protection locked="0"/>
    </xf>
    <xf numFmtId="168" fontId="0" fillId="0" borderId="7" xfId="0" applyNumberFormat="1" applyBorder="1" applyAlignment="1" applyProtection="1">
      <alignment horizontal="center" vertical="center"/>
      <protection locked="0"/>
    </xf>
    <xf numFmtId="0" fontId="0" fillId="0" borderId="3" xfId="0" applyFill="1" applyBorder="1" applyAlignment="1">
      <alignment horizontal="center"/>
    </xf>
    <xf numFmtId="175" fontId="0" fillId="0" borderId="28" xfId="0" applyNumberFormat="1" applyBorder="1" applyAlignment="1" applyProtection="1">
      <alignment horizontal="center" vertical="center"/>
      <protection locked="0"/>
    </xf>
    <xf numFmtId="175" fontId="0" fillId="0" borderId="7" xfId="0" applyNumberFormat="1" applyBorder="1" applyAlignment="1" applyProtection="1">
      <alignment horizontal="center" vertical="center"/>
      <protection locked="0"/>
    </xf>
    <xf numFmtId="164" fontId="0" fillId="0" borderId="1" xfId="1" applyNumberFormat="1" applyFont="1" applyFill="1" applyBorder="1" applyAlignment="1" applyProtection="1">
      <alignment horizontal="center"/>
      <protection locked="0"/>
    </xf>
    <xf numFmtId="0" fontId="0" fillId="0" borderId="25"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68" fontId="0" fillId="0" borderId="1" xfId="0" applyNumberFormat="1" applyFill="1" applyBorder="1" applyAlignment="1" applyProtection="1">
      <alignment horizontal="center" wrapText="1"/>
      <protection locked="0"/>
    </xf>
    <xf numFmtId="168" fontId="0" fillId="0" borderId="6" xfId="0" applyNumberFormat="1" applyFill="1" applyBorder="1" applyAlignment="1" applyProtection="1">
      <alignment horizontal="center"/>
      <protection locked="0"/>
    </xf>
    <xf numFmtId="168" fontId="0" fillId="0" borderId="9" xfId="0" applyNumberFormat="1" applyFill="1" applyBorder="1" applyAlignment="1" applyProtection="1">
      <alignment horizontal="center"/>
      <protection locked="0"/>
    </xf>
    <xf numFmtId="164" fontId="0" fillId="0" borderId="1" xfId="0" applyNumberFormat="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168" fontId="0" fillId="0" borderId="1" xfId="0" applyNumberFormat="1" applyFill="1" applyBorder="1" applyAlignment="1">
      <alignment horizontal="center"/>
    </xf>
    <xf numFmtId="168" fontId="0" fillId="0" borderId="1" xfId="0" applyNumberFormat="1" applyBorder="1" applyAlignment="1">
      <alignment horizontal="center"/>
    </xf>
    <xf numFmtId="0" fontId="0" fillId="10" borderId="27" xfId="0" applyFill="1" applyBorder="1" applyAlignment="1">
      <alignment horizontal="center" vertical="center"/>
    </xf>
    <xf numFmtId="0" fontId="0" fillId="10" borderId="72" xfId="0" applyFill="1" applyBorder="1" applyAlignment="1">
      <alignment horizontal="center" vertical="center"/>
    </xf>
    <xf numFmtId="0" fontId="0" fillId="10" borderId="75" xfId="0" applyFill="1" applyBorder="1" applyAlignment="1">
      <alignment horizontal="center" vertical="center"/>
    </xf>
    <xf numFmtId="0" fontId="0" fillId="10" borderId="8" xfId="0" applyFill="1" applyBorder="1" applyAlignment="1">
      <alignment horizontal="center" vertical="center"/>
    </xf>
    <xf numFmtId="0" fontId="0" fillId="10" borderId="22" xfId="0" applyFill="1" applyBorder="1" applyAlignment="1">
      <alignment horizontal="center" vertical="center"/>
    </xf>
    <xf numFmtId="0" fontId="0" fillId="10" borderId="11"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wrapText="1"/>
    </xf>
    <xf numFmtId="0" fontId="0" fillId="3" borderId="72" xfId="0" applyFill="1" applyBorder="1" applyAlignment="1">
      <alignment horizontal="center" wrapText="1"/>
    </xf>
    <xf numFmtId="0" fontId="0" fillId="3" borderId="16" xfId="0" applyFill="1" applyBorder="1" applyAlignment="1">
      <alignment horizontal="center" wrapText="1"/>
    </xf>
    <xf numFmtId="0" fontId="0" fillId="3" borderId="0" xfId="0" applyFill="1" applyBorder="1" applyAlignment="1">
      <alignment horizontal="center" wrapText="1"/>
    </xf>
    <xf numFmtId="0" fontId="0" fillId="3" borderId="4" xfId="0" applyFill="1" applyBorder="1" applyAlignment="1">
      <alignment horizontal="center" wrapText="1"/>
    </xf>
    <xf numFmtId="167" fontId="0" fillId="0" borderId="27" xfId="0" applyNumberFormat="1" applyBorder="1" applyAlignment="1">
      <alignment horizontal="center" vertical="center"/>
    </xf>
    <xf numFmtId="167" fontId="0" fillId="0" borderId="72" xfId="0" applyNumberFormat="1" applyBorder="1" applyAlignment="1">
      <alignment horizontal="center" vertical="center"/>
    </xf>
    <xf numFmtId="167" fontId="0" fillId="0" borderId="75" xfId="0" applyNumberFormat="1" applyBorder="1" applyAlignment="1">
      <alignment horizontal="center" vertical="center"/>
    </xf>
    <xf numFmtId="167" fontId="0" fillId="0" borderId="8" xfId="0" applyNumberFormat="1" applyBorder="1" applyAlignment="1">
      <alignment horizontal="center" vertical="center"/>
    </xf>
    <xf numFmtId="0" fontId="0" fillId="11" borderId="27" xfId="0" applyFill="1" applyBorder="1" applyAlignment="1">
      <alignment horizontal="center" vertical="center"/>
    </xf>
    <xf numFmtId="0" fontId="0" fillId="11" borderId="72" xfId="0" applyFill="1" applyBorder="1" applyAlignment="1">
      <alignment horizontal="center" vertical="center"/>
    </xf>
    <xf numFmtId="0" fontId="0" fillId="11" borderId="75" xfId="0" applyFill="1" applyBorder="1" applyAlignment="1">
      <alignment horizontal="center" vertical="center"/>
    </xf>
    <xf numFmtId="179" fontId="0" fillId="7" borderId="1" xfId="0" applyNumberFormat="1" applyFill="1" applyBorder="1" applyAlignment="1">
      <alignment horizontal="center" vertical="center"/>
    </xf>
    <xf numFmtId="168" fontId="0" fillId="0" borderId="6" xfId="0" applyNumberFormat="1" applyFill="1" applyBorder="1" applyAlignment="1" applyProtection="1">
      <alignment horizontal="center" wrapText="1"/>
      <protection locked="0"/>
    </xf>
    <xf numFmtId="168" fontId="0" fillId="0" borderId="9" xfId="0" applyNumberFormat="1" applyFill="1" applyBorder="1" applyAlignment="1" applyProtection="1">
      <alignment horizontal="center" wrapText="1"/>
      <protection locked="0"/>
    </xf>
    <xf numFmtId="168" fontId="0" fillId="0" borderId="6" xfId="0" applyNumberFormat="1" applyBorder="1" applyAlignment="1" applyProtection="1">
      <alignment horizontal="center"/>
      <protection locked="0"/>
    </xf>
    <xf numFmtId="168" fontId="0" fillId="0" borderId="9" xfId="0" applyNumberFormat="1" applyBorder="1" applyAlignment="1" applyProtection="1">
      <alignment horizontal="center"/>
      <protection locked="0"/>
    </xf>
    <xf numFmtId="175" fontId="0" fillId="0" borderId="0" xfId="0" applyNumberFormat="1" applyBorder="1" applyAlignment="1" applyProtection="1">
      <alignment horizontal="center" vertical="center"/>
      <protection locked="0"/>
    </xf>
    <xf numFmtId="175" fontId="0" fillId="0" borderId="4" xfId="0" applyNumberFormat="1" applyBorder="1" applyAlignment="1" applyProtection="1">
      <alignment horizontal="center" vertical="center"/>
      <protection locked="0"/>
    </xf>
    <xf numFmtId="175" fontId="0" fillId="0" borderId="10" xfId="0" applyNumberFormat="1" applyBorder="1" applyAlignment="1" applyProtection="1">
      <alignment horizontal="center" vertical="center"/>
      <protection locked="0"/>
    </xf>
    <xf numFmtId="0" fontId="0" fillId="4" borderId="1" xfId="0" applyFill="1" applyBorder="1" applyAlignment="1">
      <alignment horizontal="left" wrapText="1"/>
    </xf>
    <xf numFmtId="0" fontId="0" fillId="0" borderId="1" xfId="0" applyFill="1" applyBorder="1" applyAlignment="1" applyProtection="1">
      <alignment horizontal="center"/>
      <protection locked="0"/>
    </xf>
    <xf numFmtId="0" fontId="0" fillId="3" borderId="72" xfId="0" applyFill="1" applyBorder="1" applyAlignment="1">
      <alignment horizontal="center"/>
    </xf>
    <xf numFmtId="0" fontId="0" fillId="4" borderId="1" xfId="0" applyFill="1" applyBorder="1" applyAlignment="1" applyProtection="1">
      <alignment horizontal="left" vertical="center"/>
      <protection locked="0"/>
    </xf>
    <xf numFmtId="0" fontId="0" fillId="3" borderId="6" xfId="0" applyFill="1" applyBorder="1" applyAlignment="1">
      <alignment horizontal="center"/>
    </xf>
    <xf numFmtId="0" fontId="0" fillId="4" borderId="7" xfId="0" applyFill="1" applyBorder="1" applyAlignment="1">
      <alignment horizontal="center" vertical="center"/>
    </xf>
    <xf numFmtId="0" fontId="0" fillId="4" borderId="26" xfId="0" applyFill="1" applyBorder="1" applyAlignment="1">
      <alignment horizontal="center" vertical="center" wrapText="1"/>
    </xf>
    <xf numFmtId="0" fontId="0" fillId="4" borderId="72" xfId="0" applyFill="1" applyBorder="1" applyAlignment="1">
      <alignment horizontal="center" vertical="center" wrapText="1"/>
    </xf>
    <xf numFmtId="0" fontId="0" fillId="4" borderId="75"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11" xfId="0" applyFill="1" applyBorder="1" applyAlignment="1">
      <alignment horizontal="center" vertical="center" wrapText="1"/>
    </xf>
    <xf numFmtId="168" fontId="0" fillId="4" borderId="26" xfId="0" applyNumberFormat="1" applyFill="1" applyBorder="1" applyAlignment="1" applyProtection="1">
      <alignment horizontal="center" vertical="center" wrapText="1"/>
      <protection locked="0"/>
    </xf>
    <xf numFmtId="168" fontId="0" fillId="4" borderId="72" xfId="0" applyNumberFormat="1" applyFill="1" applyBorder="1" applyAlignment="1" applyProtection="1">
      <alignment horizontal="center" vertical="center" wrapText="1"/>
      <protection locked="0"/>
    </xf>
    <xf numFmtId="168" fontId="0" fillId="4" borderId="10" xfId="0" applyNumberFormat="1" applyFill="1" applyBorder="1" applyAlignment="1" applyProtection="1">
      <alignment horizontal="center" vertical="center" wrapText="1"/>
      <protection locked="0"/>
    </xf>
    <xf numFmtId="168" fontId="0" fillId="4" borderId="0" xfId="0" applyNumberFormat="1" applyFill="1" applyBorder="1" applyAlignment="1" applyProtection="1">
      <alignment horizontal="center" vertical="center" wrapText="1"/>
      <protection locked="0"/>
    </xf>
    <xf numFmtId="168" fontId="0" fillId="4" borderId="28" xfId="0" applyNumberFormat="1" applyFill="1" applyBorder="1" applyAlignment="1" applyProtection="1">
      <alignment horizontal="center" vertical="center" wrapText="1"/>
      <protection locked="0"/>
    </xf>
    <xf numFmtId="168" fontId="0" fillId="4" borderId="11" xfId="0" applyNumberFormat="1" applyFill="1" applyBorder="1" applyAlignment="1" applyProtection="1">
      <alignment horizontal="center" vertical="center" wrapText="1"/>
      <protection locked="0"/>
    </xf>
    <xf numFmtId="0" fontId="0" fillId="0" borderId="75" xfId="0" applyFill="1" applyBorder="1" applyAlignment="1">
      <alignment horizontal="left"/>
    </xf>
    <xf numFmtId="0" fontId="0" fillId="0" borderId="26" xfId="0" applyFill="1" applyBorder="1" applyAlignment="1">
      <alignment horizontal="left"/>
    </xf>
    <xf numFmtId="0" fontId="0" fillId="4" borderId="9" xfId="0" applyFill="1" applyBorder="1" applyAlignment="1">
      <alignment horizontal="left" vertical="center"/>
    </xf>
    <xf numFmtId="166" fontId="0" fillId="0" borderId="0" xfId="1" applyNumberFormat="1" applyFont="1" applyFill="1" applyBorder="1" applyAlignment="1" applyProtection="1">
      <alignment horizontal="center" vertical="center" wrapText="1"/>
      <protection locked="0"/>
    </xf>
    <xf numFmtId="166" fontId="0" fillId="0" borderId="28" xfId="1" applyNumberFormat="1" applyFont="1" applyFill="1" applyBorder="1" applyAlignment="1" applyProtection="1">
      <alignment horizontal="center" vertical="center" wrapText="1"/>
      <protection locked="0"/>
    </xf>
    <xf numFmtId="166" fontId="0" fillId="0" borderId="26" xfId="1" applyNumberFormat="1" applyFont="1" applyFill="1" applyBorder="1" applyAlignment="1" applyProtection="1">
      <alignment horizontal="center" vertical="center" wrapText="1"/>
      <protection locked="0"/>
    </xf>
    <xf numFmtId="168" fontId="0" fillId="4" borderId="75" xfId="0" applyNumberFormat="1" applyFill="1" applyBorder="1" applyAlignment="1" applyProtection="1">
      <alignment horizontal="center" vertical="center" wrapText="1"/>
      <protection locked="0"/>
    </xf>
    <xf numFmtId="168" fontId="0" fillId="4" borderId="4" xfId="0" applyNumberFormat="1" applyFill="1" applyBorder="1" applyAlignment="1" applyProtection="1">
      <alignment horizontal="center" vertical="center" wrapText="1"/>
      <protection locked="0"/>
    </xf>
    <xf numFmtId="168" fontId="0" fillId="4" borderId="7" xfId="0" applyNumberFormat="1" applyFill="1" applyBorder="1" applyAlignment="1" applyProtection="1">
      <alignment horizontal="center" vertical="center" wrapText="1"/>
      <protection locked="0"/>
    </xf>
    <xf numFmtId="168" fontId="0" fillId="0" borderId="26" xfId="0" applyNumberFormat="1" applyBorder="1" applyAlignment="1" applyProtection="1">
      <alignment horizontal="center" vertical="center"/>
      <protection locked="0"/>
    </xf>
    <xf numFmtId="168" fontId="0" fillId="0" borderId="75" xfId="0" applyNumberFormat="1" applyBorder="1" applyAlignment="1" applyProtection="1">
      <alignment horizontal="center" vertical="center"/>
      <protection locked="0"/>
    </xf>
    <xf numFmtId="175" fontId="0" fillId="0" borderId="8" xfId="0" applyNumberFormat="1" applyBorder="1" applyAlignment="1" applyProtection="1">
      <alignment horizontal="center" vertical="center"/>
      <protection locked="0"/>
    </xf>
    <xf numFmtId="175" fontId="0" fillId="0" borderId="9" xfId="0" applyNumberFormat="1" applyBorder="1" applyAlignment="1" applyProtection="1">
      <alignment horizontal="center" vertical="center"/>
      <protection locked="0"/>
    </xf>
    <xf numFmtId="175" fontId="0" fillId="0" borderId="72" xfId="0" applyNumberFormat="1" applyBorder="1" applyAlignment="1" applyProtection="1">
      <alignment horizontal="center" vertical="center"/>
      <protection locked="0"/>
    </xf>
    <xf numFmtId="175" fontId="0" fillId="0" borderId="75" xfId="0" applyNumberFormat="1" applyBorder="1" applyAlignment="1" applyProtection="1">
      <alignment horizontal="center" vertical="center"/>
      <protection locked="0"/>
    </xf>
    <xf numFmtId="168" fontId="0" fillId="0" borderId="6" xfId="0" applyNumberFormat="1" applyBorder="1" applyAlignment="1" applyProtection="1">
      <alignment horizontal="center" vertical="center"/>
      <protection locked="0"/>
    </xf>
    <xf numFmtId="168" fontId="0" fillId="0" borderId="9" xfId="0" applyNumberFormat="1" applyBorder="1" applyAlignment="1" applyProtection="1">
      <alignment horizontal="center" vertical="center"/>
      <protection locked="0"/>
    </xf>
    <xf numFmtId="164" fontId="0" fillId="12" borderId="1" xfId="0" applyNumberFormat="1" applyFill="1" applyBorder="1" applyAlignment="1">
      <alignment horizontal="center" vertical="center"/>
    </xf>
    <xf numFmtId="167" fontId="0" fillId="12" borderId="6" xfId="0" applyNumberFormat="1" applyFill="1" applyBorder="1" applyAlignment="1">
      <alignment horizontal="center" vertical="center" wrapText="1"/>
    </xf>
    <xf numFmtId="167" fontId="0" fillId="12" borderId="9" xfId="0" applyNumberFormat="1" applyFill="1" applyBorder="1" applyAlignment="1">
      <alignment horizontal="center" vertical="center" wrapText="1"/>
    </xf>
    <xf numFmtId="167" fontId="0" fillId="12" borderId="1" xfId="0" applyNumberFormat="1" applyFill="1" applyBorder="1" applyAlignment="1">
      <alignment horizontal="center" vertical="center" wrapText="1"/>
    </xf>
    <xf numFmtId="0" fontId="0" fillId="12" borderId="1" xfId="0" applyFill="1" applyBorder="1" applyAlignment="1">
      <alignment horizontal="center" vertical="center" wrapText="1"/>
    </xf>
    <xf numFmtId="168" fontId="0" fillId="0" borderId="1" xfId="0" applyNumberFormat="1" applyFill="1" applyBorder="1" applyAlignment="1">
      <alignment horizontal="center" wrapText="1"/>
    </xf>
    <xf numFmtId="0" fontId="0" fillId="4" borderId="25" xfId="0" applyFill="1" applyBorder="1" applyAlignment="1">
      <alignment horizontal="left" wrapText="1"/>
    </xf>
    <xf numFmtId="0" fontId="0" fillId="4" borderId="3" xfId="0" applyFill="1" applyBorder="1" applyAlignment="1">
      <alignment horizontal="left" wrapText="1"/>
    </xf>
    <xf numFmtId="0" fontId="0" fillId="0" borderId="25"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4" borderId="81" xfId="0" applyFill="1" applyBorder="1" applyAlignment="1">
      <alignment horizontal="center" vertical="center" wrapText="1"/>
    </xf>
    <xf numFmtId="0" fontId="0" fillId="4" borderId="60"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61" xfId="0" applyFill="1" applyBorder="1" applyAlignment="1">
      <alignment horizontal="left"/>
    </xf>
    <xf numFmtId="0" fontId="0" fillId="0" borderId="0" xfId="0" applyFill="1" applyBorder="1" applyAlignment="1">
      <alignment horizontal="left" vertical="top" wrapText="1"/>
    </xf>
    <xf numFmtId="0" fontId="0" fillId="3" borderId="6" xfId="0" applyFont="1" applyFill="1" applyBorder="1" applyAlignment="1">
      <alignment horizontal="center"/>
    </xf>
    <xf numFmtId="0" fontId="0" fillId="3" borderId="8" xfId="0" applyFont="1" applyFill="1" applyBorder="1" applyAlignment="1">
      <alignment horizontal="center"/>
    </xf>
    <xf numFmtId="0" fontId="0" fillId="3" borderId="9" xfId="0" applyFont="1" applyFill="1" applyBorder="1" applyAlignment="1">
      <alignment horizontal="center"/>
    </xf>
    <xf numFmtId="0" fontId="0" fillId="7" borderId="6" xfId="0" applyFill="1" applyBorder="1" applyAlignment="1">
      <alignment horizontal="center"/>
    </xf>
    <xf numFmtId="0" fontId="0" fillId="7" borderId="9" xfId="0" applyFill="1" applyBorder="1" applyAlignment="1">
      <alignment horizontal="center"/>
    </xf>
    <xf numFmtId="166" fontId="0" fillId="0" borderId="0" xfId="0" applyNumberFormat="1" applyFill="1" applyBorder="1" applyAlignment="1">
      <alignment horizontal="center"/>
    </xf>
    <xf numFmtId="0" fontId="0" fillId="0" borderId="0" xfId="0" applyFill="1" applyBorder="1" applyAlignment="1">
      <alignment horizontal="center" wrapText="1"/>
    </xf>
    <xf numFmtId="0" fontId="0" fillId="0" borderId="0" xfId="0" applyAlignment="1">
      <alignment horizontal="center"/>
    </xf>
  </cellXfs>
  <cellStyles count="2">
    <cellStyle name="Normal" xfId="0" builtinId="0"/>
    <cellStyle name="Percent" xfId="1" builtinId="5"/>
  </cellStyles>
  <dxfs count="757">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ont>
        <color rgb="FFC00000"/>
      </font>
      <fill>
        <patternFill patternType="solid">
          <bgColor rgb="FFFFFF00"/>
        </patternFill>
      </fill>
    </dxf>
    <dxf>
      <font>
        <color theme="4" tint="-0.24994659260841701"/>
      </font>
      <fill>
        <patternFill patternType="solid"/>
      </fill>
    </dxf>
    <dxf>
      <font>
        <color rgb="FFC00000"/>
      </font>
      <fill>
        <patternFill patternType="solid">
          <bgColor rgb="FFFFFF00"/>
        </patternFill>
      </fill>
    </dxf>
    <dxf>
      <font>
        <color theme="4" tint="-0.24994659260841701"/>
      </font>
      <fill>
        <patternFill patternType="solid">
          <bgColor theme="0"/>
        </patternFill>
      </fill>
    </dxf>
    <dxf>
      <font>
        <color rgb="FFC00000"/>
      </font>
      <fill>
        <patternFill patternType="solid">
          <bgColor rgb="FFFFFF00"/>
        </patternFill>
      </fill>
    </dxf>
    <dxf>
      <font>
        <color theme="4" tint="-0.24994659260841701"/>
      </font>
      <fill>
        <patternFill patternType="solid">
          <bgColor theme="0"/>
        </patternFill>
      </fill>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theme="0"/>
      </font>
      <fill>
        <patternFill patternType="solid">
          <bgColor theme="0"/>
        </patternFill>
      </fill>
      <border>
        <top style="thin">
          <color auto="1"/>
        </top>
        <vertical/>
        <horizontal/>
      </border>
    </dxf>
    <dxf>
      <border>
        <bottom style="thin">
          <color auto="1"/>
        </bottom>
      </border>
    </dxf>
    <dxf>
      <fill>
        <patternFill>
          <bgColor theme="4" tint="0.59996337778862885"/>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0" tint="-0.14996795556505021"/>
        </patternFill>
      </fill>
    </dxf>
    <dxf>
      <font>
        <color rgb="FFFFFF00"/>
      </font>
      <fill>
        <patternFill>
          <bgColor rgb="FFC00000"/>
        </patternFill>
      </fill>
    </dxf>
    <dxf>
      <fill>
        <patternFill>
          <bgColor theme="0" tint="-0.14996795556505021"/>
        </patternFill>
      </fill>
    </dxf>
    <dxf>
      <fill>
        <patternFill>
          <bgColor theme="0" tint="-0.14996795556505021"/>
        </patternFill>
      </fill>
    </dxf>
    <dxf>
      <font>
        <color rgb="FFFFFF00"/>
      </font>
      <fill>
        <patternFill>
          <bgColor rgb="FFC00000"/>
        </patternFill>
      </fill>
    </dxf>
    <dxf>
      <fill>
        <patternFill>
          <bgColor theme="0" tint="-0.14996795556505021"/>
        </patternFill>
      </fill>
    </dxf>
    <dxf>
      <font>
        <color rgb="FFFFFF00"/>
      </font>
      <fill>
        <patternFill>
          <bgColor rgb="FFC00000"/>
        </patternFill>
      </fill>
    </dxf>
    <dxf>
      <fill>
        <patternFill>
          <bgColor theme="0" tint="-0.14996795556505021"/>
        </patternFill>
      </fill>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numFmt numFmtId="0" formatCode="General"/>
      <fill>
        <patternFill>
          <bgColor theme="0"/>
        </patternFill>
      </fill>
      <border>
        <left/>
        <right/>
        <top/>
        <bottom/>
        <vertical/>
        <horizontal/>
      </border>
    </dxf>
    <dxf>
      <font>
        <color theme="0" tint="-0.499984740745262"/>
      </font>
      <fill>
        <patternFill patternType="darkGray">
          <bgColor auto="1"/>
        </patternFill>
      </fill>
      <border>
        <left style="thin">
          <color auto="1"/>
        </left>
        <right style="thin">
          <color auto="1"/>
        </right>
        <top style="thin">
          <color auto="1"/>
        </top>
        <bottom style="thin">
          <color auto="1"/>
        </bottom>
      </border>
    </dxf>
    <dxf>
      <font>
        <color theme="0"/>
      </font>
      <fill>
        <patternFill patternType="solid">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border>
        <bottom style="thin">
          <color auto="1"/>
        </bottom>
      </border>
    </dxf>
    <dxf>
      <font>
        <color theme="0" tint="-0.499984740745262"/>
      </font>
      <fill>
        <patternFill patternType="darkGray"/>
      </fill>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patternType="solid"/>
      </fill>
    </dxf>
    <dxf>
      <font>
        <color theme="0" tint="-0.499984740745262"/>
      </font>
      <fill>
        <patternFill patternType="darkGray"/>
      </fill>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tint="-0.499984740745262"/>
      </font>
      <fill>
        <patternFill patternType="darkGray">
          <bgColor auto="1"/>
        </patternFill>
      </fill>
      <border>
        <left style="thin">
          <color auto="1"/>
        </left>
        <right style="thin">
          <color auto="1"/>
        </right>
        <top style="thin">
          <color auto="1"/>
        </top>
        <bottom style="thin">
          <color auto="1"/>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tint="-0.499984740745262"/>
      </font>
      <fill>
        <patternFill patternType="darkGray"/>
      </fill>
    </dxf>
    <dxf>
      <font>
        <color theme="0" tint="-0.499984740745262"/>
      </font>
      <fill>
        <patternFill patternType="darkGray"/>
      </fill>
    </dxf>
    <dxf>
      <font>
        <color theme="0" tint="-0.499984740745262"/>
      </font>
      <fill>
        <patternFill patternType="darkGray">
          <bgColor auto="1"/>
        </patternFill>
      </fill>
    </dxf>
    <dxf>
      <font>
        <color theme="0" tint="-0.499984740745262"/>
      </font>
      <fill>
        <patternFill patternType="darkGray"/>
      </fill>
    </dxf>
    <dxf>
      <font>
        <color theme="0" tint="-0.499984740745262"/>
      </font>
      <fill>
        <patternFill patternType="darkGray">
          <bgColor auto="1"/>
        </patternFill>
      </fill>
    </dxf>
    <dxf>
      <font>
        <color theme="0" tint="-0.499984740745262"/>
      </font>
      <fill>
        <patternFill patternType="darkGray"/>
      </fill>
    </dxf>
    <dxf>
      <font>
        <color theme="0" tint="-0.499984740745262"/>
      </font>
      <fill>
        <patternFill patternType="darkGray"/>
      </fill>
    </dxf>
    <dxf>
      <font>
        <color theme="0" tint="-0.499984740745262"/>
      </font>
      <fill>
        <patternFill patternType="darkGray"/>
      </fill>
    </dxf>
    <dxf>
      <font>
        <color theme="0" tint="-0.499984740745262"/>
      </font>
      <fill>
        <patternFill patternType="darkGray"/>
      </fill>
    </dxf>
    <dxf>
      <font>
        <color theme="0" tint="-0.499984740745262"/>
      </font>
      <fill>
        <patternFill patternType="darkGray"/>
      </fill>
    </dxf>
    <dxf>
      <border>
        <bottom style="thin">
          <color auto="1"/>
        </bottom>
        <vertical/>
        <horizontal/>
      </border>
    </dxf>
    <dxf>
      <font>
        <color theme="0"/>
      </font>
      <fill>
        <patternFill patternType="solid">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tint="-0.499984740745262"/>
      </font>
      <fill>
        <patternFill patternType="darkGray">
          <bgColor auto="1"/>
        </patternFill>
      </fill>
      <border>
        <left style="thin">
          <color auto="1"/>
        </left>
        <right style="thin">
          <color auto="1"/>
        </right>
        <top style="thin">
          <color auto="1"/>
        </top>
        <bottom style="thin">
          <color auto="1"/>
        </bottom>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none">
          <bgColor auto="1"/>
        </patternFill>
      </fill>
      <border>
        <left/>
        <right/>
        <top/>
        <bottom/>
        <vertical/>
        <horizontal/>
      </border>
    </dxf>
    <dxf>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ont>
        <color rgb="FFC00000"/>
      </font>
      <fill>
        <patternFill patternType="solid">
          <bgColor rgb="FFFFFF00"/>
        </patternFill>
      </fill>
    </dxf>
    <dxf>
      <font>
        <color theme="4" tint="-0.24994659260841701"/>
      </font>
      <fill>
        <patternFill patternType="solid"/>
      </fill>
    </dxf>
    <dxf>
      <font>
        <color theme="0"/>
      </font>
      <fill>
        <patternFill>
          <bgColor theme="0"/>
        </patternFill>
      </fill>
      <border>
        <left/>
        <right/>
        <top/>
        <bottom/>
      </border>
    </dxf>
    <dxf>
      <font>
        <color theme="0"/>
      </font>
      <fill>
        <patternFill>
          <bgColor theme="0"/>
        </patternFill>
      </fill>
      <border>
        <left/>
        <right/>
        <top/>
        <bottom/>
        <vertical/>
        <horizontal/>
      </border>
    </dxf>
    <dxf>
      <font>
        <color rgb="FFC00000"/>
      </font>
      <fill>
        <patternFill patternType="solid">
          <bgColor rgb="FFFFFF00"/>
        </patternFill>
      </fill>
    </dxf>
    <dxf>
      <font>
        <color theme="4" tint="-0.24994659260841701"/>
      </font>
      <fill>
        <patternFill patternType="solid">
          <bgColor theme="0"/>
        </patternFill>
      </fill>
    </dxf>
    <dxf>
      <font>
        <color rgb="FFC00000"/>
      </font>
      <fill>
        <patternFill patternType="solid">
          <bgColor rgb="FFFFFF00"/>
        </patternFill>
      </fill>
    </dxf>
    <dxf>
      <font>
        <color theme="4" tint="-0.24994659260841701"/>
      </font>
      <fill>
        <patternFill patternType="solid">
          <bgColor theme="0"/>
        </patternFill>
      </fill>
    </dxf>
    <dxf>
      <font>
        <color theme="0"/>
      </font>
      <fill>
        <patternFill patternType="solid">
          <bgColor theme="0"/>
        </patternFill>
      </fill>
      <border>
        <top style="thin">
          <color auto="1"/>
        </top>
        <vertical/>
        <horizontal/>
      </border>
    </dxf>
    <dxf>
      <border>
        <bottom style="thin">
          <color auto="1"/>
        </bottom>
        <vertical/>
        <horizontal/>
      </border>
    </dxf>
    <dxf>
      <font>
        <color theme="0"/>
      </font>
      <fill>
        <patternFill patternType="none">
          <bgColor auto="1"/>
        </patternFill>
      </fill>
      <border>
        <left/>
        <right/>
        <top/>
        <bottom/>
        <vertical/>
        <horizontal/>
      </border>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14996795556505021"/>
        </patternFill>
      </fill>
    </dxf>
    <dxf>
      <font>
        <color rgb="FFFFFF00"/>
      </font>
      <fill>
        <patternFill>
          <bgColor rgb="FFC00000"/>
        </patternFill>
      </fill>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ont>
        <color rgb="FFFFFF00"/>
      </font>
      <fill>
        <patternFill>
          <bgColor rgb="FFC00000"/>
        </patternFill>
      </fill>
    </dxf>
    <dxf>
      <font>
        <color auto="1"/>
      </font>
      <fill>
        <patternFill>
          <bgColor theme="0" tint="-0.14996795556505021"/>
        </patternFill>
      </fill>
    </dxf>
    <dxf>
      <font>
        <color rgb="FFFFFF00"/>
      </font>
      <fill>
        <patternFill>
          <bgColor rgb="FFC00000"/>
        </patternFill>
      </fill>
    </dxf>
    <dxf>
      <fill>
        <patternFill>
          <bgColor theme="0" tint="-0.14996795556505021"/>
        </patternFill>
      </fill>
    </dxf>
    <dxf>
      <fill>
        <patternFill>
          <bgColor theme="4"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border>
        <left style="thin">
          <color auto="1"/>
        </left>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border>
        <left style="thin">
          <color auto="1"/>
        </left>
        <right style="thin">
          <color auto="1"/>
        </right>
        <top style="thin">
          <color auto="1"/>
        </top>
        <bottom style="thin">
          <color auto="1"/>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top style="thin">
          <color auto="1"/>
        </top>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fgColor auto="1"/>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fill>
    </dxf>
    <dxf>
      <font>
        <color theme="0"/>
      </font>
      <fill>
        <patternFill patternType="solid">
          <bgColor theme="0"/>
        </patternFill>
      </fill>
      <border>
        <left/>
        <right/>
        <top/>
        <bottom/>
        <vertical/>
        <horizontal/>
      </border>
    </dxf>
    <dxf>
      <font>
        <color theme="0"/>
      </font>
      <fill>
        <patternFill patternType="lightTrellis">
          <bgColor auto="1"/>
        </patternFill>
      </fill>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fgColor auto="1"/>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C00000"/>
      </font>
      <fill>
        <patternFill patternType="solid">
          <bgColor rgb="FFFFFF00"/>
        </patternFill>
      </fill>
    </dxf>
    <dxf>
      <font>
        <color theme="4" tint="-0.24994659260841701"/>
      </font>
      <fill>
        <patternFill patternType="solid">
          <bgColor theme="0"/>
        </patternFill>
      </fill>
    </dxf>
    <dxf>
      <fill>
        <patternFill>
          <bgColor rgb="FFFF0000"/>
        </patternFill>
      </fill>
    </dxf>
    <dxf>
      <font>
        <color rgb="FFC00000"/>
      </font>
      <fill>
        <patternFill patternType="solid">
          <bgColor rgb="FFFFFF00"/>
        </patternFill>
      </fill>
    </dxf>
    <dxf>
      <fill>
        <patternFill>
          <bgColor rgb="FFFF0000"/>
        </patternFill>
      </fill>
    </dxf>
    <dxf>
      <font>
        <color theme="0"/>
      </font>
      <fill>
        <patternFill patternType="solid">
          <bgColor theme="0"/>
        </patternFill>
      </fill>
      <border>
        <left/>
        <right/>
        <top/>
        <bottom/>
        <vertical/>
        <horizontal/>
      </border>
    </dxf>
    <dxf>
      <font>
        <color theme="4" tint="-0.24994659260841701"/>
      </font>
      <fill>
        <patternFill patternType="solid">
          <bgColor theme="0"/>
        </patternFill>
      </fill>
    </dxf>
    <dxf>
      <border>
        <bottom style="thin">
          <color auto="1"/>
        </bottom>
        <vertical/>
        <horizontal/>
      </border>
    </dxf>
    <dxf>
      <border>
        <bottom style="thin">
          <color auto="1"/>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ill>
        <patternFill>
          <bgColor theme="0" tint="-0.14996795556505021"/>
        </patternFill>
      </fill>
    </dxf>
    <dxf>
      <fill>
        <patternFill>
          <bgColor theme="4" tint="0.59996337778862885"/>
        </patternFill>
      </fill>
    </dxf>
    <dxf>
      <fill>
        <patternFill>
          <bgColor theme="0" tint="-0.1499679555650502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0" tint="-0.14996795556505021"/>
        </patternFill>
      </fill>
    </dxf>
    <dxf>
      <font>
        <color rgb="FFFFFF00"/>
      </font>
      <fill>
        <patternFill>
          <bgColor rgb="FFC00000"/>
        </patternFill>
      </fill>
    </dxf>
    <dxf>
      <fill>
        <patternFill>
          <bgColor theme="4" tint="0.59996337778862885"/>
        </patternFill>
      </fill>
    </dxf>
    <dxf>
      <font>
        <color rgb="FFFFFF00"/>
      </font>
      <fill>
        <patternFill>
          <bgColor rgb="FFC00000"/>
        </patternFill>
      </fill>
    </dxf>
    <dxf>
      <font>
        <color auto="1"/>
      </font>
      <fill>
        <patternFill>
          <bgColor theme="0" tint="-0.14996795556505021"/>
        </patternFill>
      </fill>
    </dxf>
    <dxf>
      <font>
        <color rgb="FFFFFF00"/>
      </font>
      <fill>
        <patternFill>
          <bgColor rgb="FFC00000"/>
        </patternFill>
      </fill>
    </dxf>
    <dxf>
      <fill>
        <patternFill>
          <bgColor theme="0" tint="-0.14996795556505021"/>
        </patternFill>
      </fill>
    </dxf>
    <dxf>
      <fill>
        <patternFill>
          <bgColor theme="4" tint="0.5999633777886288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fgColor auto="1"/>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solid">
          <bgColor theme="0"/>
        </patternFill>
      </fill>
      <border>
        <left/>
        <right/>
        <top/>
        <bottom/>
        <vertical/>
        <horizontal/>
      </border>
    </dxf>
    <dxf>
      <font>
        <color theme="0"/>
      </font>
      <fill>
        <patternFill patternType="solid">
          <bgColor theme="0"/>
        </patternFill>
      </fill>
      <border>
        <top style="thin">
          <color auto="1"/>
        </top>
        <vertical/>
        <horizontal/>
      </border>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fill>
    </dxf>
    <dxf>
      <font>
        <color theme="0"/>
      </font>
      <fill>
        <patternFill patternType="lightTrellis">
          <bgColor auto="1"/>
        </patternFill>
      </fill>
    </dxf>
  </dxfs>
  <tableStyles count="0" defaultTableStyle="TableStyleMedium2" defaultPivotStyle="PivotStyleLight16"/>
  <colors>
    <mruColors>
      <color rgb="FFFF7171"/>
      <color rgb="FFFFFF99"/>
      <color rgb="FFFFDC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Drop" dropStyle="combo" dx="16" fmlaLink="'R2U_Ref'!$C$11" fmlaRange="'R2U_Ref'!$C$8:$C$10" sel="2" val="0"/>
</file>

<file path=xl/ctrlProps/ctrlProp10.xml><?xml version="1.0" encoding="utf-8"?>
<formControlPr xmlns="http://schemas.microsoft.com/office/spreadsheetml/2009/9/main" objectType="CheckBox" fmlaLink="'R2U_Ref'!$J$13" lockText="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checked="Checked" firstButton="1" fmlaLink="'R2U_Ref'!$E$38"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R2U_Ref'!$E$119" lockText="1" noThreeD="1"/>
</file>

<file path=xl/ctrlProps/ctrlProp105.xml><?xml version="1.0" encoding="utf-8"?>
<formControlPr xmlns="http://schemas.microsoft.com/office/spreadsheetml/2009/9/main" objectType="Radio" checked="Checked"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checked="Checked" firstButton="1" fmlaLink="'R2U_Ref'!$E$120"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Drop" dropStyle="combo" dx="16" fmlaLink="'R2U_Ref'!$C$87" fmlaRange="'R2U_Ref'!$C$80:$C$86" sel="7" val="0"/>
</file>

<file path=xl/ctrlProps/ctrlProp110.xml><?xml version="1.0" encoding="utf-8"?>
<formControlPr xmlns="http://schemas.microsoft.com/office/spreadsheetml/2009/9/main" objectType="Radio" checked="Checked" firstButton="1" fmlaLink="'R2U_Ref'!$E$12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checked="Checked" firstButton="1" fmlaLink="'R2U_Ref'!$E$122"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checked="Checked" firstButton="1" fmlaLink="'R2U_Ref'!$H$31"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Drop" dropStyle="combo" dx="16" fmlaLink="'R2U_Ref'!$C$97" fmlaRange="'R2U_Ref'!$C$88:$C$96" sel="5"/>
</file>

<file path=xl/ctrlProps/ctrlProp120.xml><?xml version="1.0" encoding="utf-8"?>
<formControlPr xmlns="http://schemas.microsoft.com/office/spreadsheetml/2009/9/main" objectType="Radio" checked="Checked" firstButton="1" fmlaLink="'R2U_Ref'!$H$32"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checked="Checked" firstButton="1" fmlaLink="'R2U_Ref'!$H$33"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checked="Checked" firstButton="1" fmlaLink="'R2U_Ref'!$E$48"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firstButton="1" fmlaLink="'R2U_Ref'!$E$49" lockText="1" noThreeD="1"/>
</file>

<file path=xl/ctrlProps/ctrlProp13.xml><?xml version="1.0" encoding="utf-8"?>
<formControlPr xmlns="http://schemas.microsoft.com/office/spreadsheetml/2009/9/main" objectType="Drop" dropStyle="combo" dx="16" fmlaLink="'R2U_Ref'!$F$92" fmlaRange="'R2U_Ref'!$F$90:$F$91" sel="2" val="0"/>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Radio" checked="Checked" firstButton="1" fmlaLink="'R2U_Ref'!$E$50"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Radio" checked="Checked" firstButton="1" fmlaLink="'R2U_Ref'!$E$5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Radio" firstButton="1" fmlaLink="'R2U_Ref'!$E$59"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Drop" dropStyle="combo" dx="16" fmlaLink="'R2U_Ref'!$C$108" fmlaRange="'R2U_Ref'!$C$104:$C$107" sel="1" val="0"/>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R2U_Ref'!$E$60"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fmlaLink="'R2U_Ref'!$E$61" lockText="1" noThreeD="1"/>
</file>

<file path=xl/ctrlProps/ctrlProp145.xml><?xml version="1.0" encoding="utf-8"?>
<formControlPr xmlns="http://schemas.microsoft.com/office/spreadsheetml/2009/9/main" objectType="Radio" checked="Checked" lockText="1"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Radio" firstButton="1" fmlaLink="'R2U_Ref'!$E$62" lockText="1" noThreeD="1"/>
</file>

<file path=xl/ctrlProps/ctrlProp148.xml><?xml version="1.0" encoding="utf-8"?>
<formControlPr xmlns="http://schemas.microsoft.com/office/spreadsheetml/2009/9/main" objectType="Radio" checked="Checked"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Drop" dropStyle="combo" dx="16" fmlaLink="'R2U_Ref'!$C$111" fmlaRange="'R2U_Ref'!$C$109:$C$110" sel="2" val="0"/>
</file>

<file path=xl/ctrlProps/ctrlProp150.xml><?xml version="1.0" encoding="utf-8"?>
<formControlPr xmlns="http://schemas.microsoft.com/office/spreadsheetml/2009/9/main" objectType="Radio" firstButton="1" fmlaLink="'R2U_Ref'!$E$63" lockText="1" noThreeD="1"/>
</file>

<file path=xl/ctrlProps/ctrlProp151.xml><?xml version="1.0" encoding="utf-8"?>
<formControlPr xmlns="http://schemas.microsoft.com/office/spreadsheetml/2009/9/main" objectType="Radio" checked="Checked" lockText="1" noThreeD="1"/>
</file>

<file path=xl/ctrlProps/ctrlProp152.xml><?xml version="1.0" encoding="utf-8"?>
<formControlPr xmlns="http://schemas.microsoft.com/office/spreadsheetml/2009/9/main" objectType="Drop" dropStyle="combo" dx="16" fmlaLink="'R4UD_Ref'!$C$11" fmlaRange="'R4UD_Ref'!$C$8:$C$10" sel="1" val="0"/>
</file>

<file path=xl/ctrlProps/ctrlProp153.xml><?xml version="1.0" encoding="utf-8"?>
<formControlPr xmlns="http://schemas.microsoft.com/office/spreadsheetml/2009/9/main" objectType="Drop" dropStyle="combo" dx="16" fmlaLink="'R4UD_Ref'!$C$14" fmlaRange="'R4UD_Ref'!$C$12:$C$13" sel="2" val="0"/>
</file>

<file path=xl/ctrlProps/ctrlProp154.xml><?xml version="1.0" encoding="utf-8"?>
<formControlPr xmlns="http://schemas.microsoft.com/office/spreadsheetml/2009/9/main" objectType="CheckBox" fmlaLink="'R4UD_Ref'!$J$7" lockText="1"/>
</file>

<file path=xl/ctrlProps/ctrlProp155.xml><?xml version="1.0" encoding="utf-8"?>
<formControlPr xmlns="http://schemas.microsoft.com/office/spreadsheetml/2009/9/main" objectType="CheckBox" fmlaLink="'R4UD_Ref'!$J$8" lockText="1"/>
</file>

<file path=xl/ctrlProps/ctrlProp156.xml><?xml version="1.0" encoding="utf-8"?>
<formControlPr xmlns="http://schemas.microsoft.com/office/spreadsheetml/2009/9/main" objectType="CheckBox" fmlaLink="'R4UD_Ref'!$J$11" lockText="1"/>
</file>

<file path=xl/ctrlProps/ctrlProp157.xml><?xml version="1.0" encoding="utf-8"?>
<formControlPr xmlns="http://schemas.microsoft.com/office/spreadsheetml/2009/9/main" objectType="CheckBox" fmlaLink="'R4UD_Ref'!$J$12" lockText="1"/>
</file>

<file path=xl/ctrlProps/ctrlProp158.xml><?xml version="1.0" encoding="utf-8"?>
<formControlPr xmlns="http://schemas.microsoft.com/office/spreadsheetml/2009/9/main" objectType="CheckBox" fmlaLink="'R4UD_Ref'!$J$13" lockText="1"/>
</file>

<file path=xl/ctrlProps/ctrlProp159.xml><?xml version="1.0" encoding="utf-8"?>
<formControlPr xmlns="http://schemas.microsoft.com/office/spreadsheetml/2009/9/main" objectType="Drop" dropStyle="combo" dx="16" fmlaLink="'R4UD_Ref'!$C$87" fmlaRange="'R4UD_Ref'!$C$80:$C$86" sel="7" val="0"/>
</file>

<file path=xl/ctrlProps/ctrlProp16.xml><?xml version="1.0" encoding="utf-8"?>
<formControlPr xmlns="http://schemas.microsoft.com/office/spreadsheetml/2009/9/main" objectType="Drop" dropStyle="combo" dx="16" fmlaLink="'R2U_Ref'!$C$114" fmlaRange="'R2U_Ref'!$C$112:$C$113" sel="2" val="0"/>
</file>

<file path=xl/ctrlProps/ctrlProp160.xml><?xml version="1.0" encoding="utf-8"?>
<formControlPr xmlns="http://schemas.microsoft.com/office/spreadsheetml/2009/9/main" objectType="Drop" dropStyle="combo" dx="16" fmlaLink="'R4UD_Ref'!$C$97" fmlaRange="'R4UD_Ref'!$C$88:$C$96" sel="3" val="0"/>
</file>

<file path=xl/ctrlProps/ctrlProp161.xml><?xml version="1.0" encoding="utf-8"?>
<formControlPr xmlns="http://schemas.microsoft.com/office/spreadsheetml/2009/9/main" objectType="Drop" dropStyle="combo" dx="16" fmlaLink="'R4UD_Ref'!$F$92" fmlaRange="'R4UD_Ref'!$F$90:$F$91" sel="1" val="0"/>
</file>

<file path=xl/ctrlProps/ctrlProp162.xml><?xml version="1.0" encoding="utf-8"?>
<formControlPr xmlns="http://schemas.microsoft.com/office/spreadsheetml/2009/9/main" objectType="Drop" dropStyle="combo" dx="16" fmlaLink="'R4UD_Ref'!$C$108" fmlaRange="'R4UD_Ref'!$C$104:$C$107" sel="1" val="0"/>
</file>

<file path=xl/ctrlProps/ctrlProp163.xml><?xml version="1.0" encoding="utf-8"?>
<formControlPr xmlns="http://schemas.microsoft.com/office/spreadsheetml/2009/9/main" objectType="Drop" dropStyle="combo" dx="16" fmlaLink="'R4UD_Ref'!$C$111" fmlaRange="'R4UD_Ref'!$C$109:$C$110" sel="2" val="0"/>
</file>

<file path=xl/ctrlProps/ctrlProp164.xml><?xml version="1.0" encoding="utf-8"?>
<formControlPr xmlns="http://schemas.microsoft.com/office/spreadsheetml/2009/9/main" objectType="Drop" dropStyle="combo" dx="16" fmlaLink="'R4UD_Ref'!$C$114" fmlaRange="'R4UD_Ref'!$C$112:$C$113" sel="2" val="0"/>
</file>

<file path=xl/ctrlProps/ctrlProp165.xml><?xml version="1.0" encoding="utf-8"?>
<formControlPr xmlns="http://schemas.microsoft.com/office/spreadsheetml/2009/9/main" objectType="Drop" dropStyle="combo" dx="16" fmlaLink="'R4UD_Ref'!$D$87" fmlaRange="'R4UD_Ref'!$D$80:$D$86" sel="6" val="0"/>
</file>

<file path=xl/ctrlProps/ctrlProp166.xml><?xml version="1.0" encoding="utf-8"?>
<formControlPr xmlns="http://schemas.microsoft.com/office/spreadsheetml/2009/9/main" objectType="Drop" dropStyle="combo" dx="16" fmlaLink="'R4UD_Ref'!$D$97" fmlaRange="'R4UD_Ref'!$D$88:$D$96" sel="9" val="0"/>
</file>

<file path=xl/ctrlProps/ctrlProp167.xml><?xml version="1.0" encoding="utf-8"?>
<formControlPr xmlns="http://schemas.microsoft.com/office/spreadsheetml/2009/9/main" objectType="CheckBox" fmlaLink="'R4UD_Ref'!$J$9" lockText="1"/>
</file>

<file path=xl/ctrlProps/ctrlProp168.xml><?xml version="1.0" encoding="utf-8"?>
<formControlPr xmlns="http://schemas.microsoft.com/office/spreadsheetml/2009/9/main" objectType="Drop" dropStyle="combo" dx="16" fmlaLink="'R4UD_Ref'!$H$92" fmlaRange="'R4UD_Ref'!$H$90:$H$91" sel="1" val="0"/>
</file>

<file path=xl/ctrlProps/ctrlProp169.xml><?xml version="1.0" encoding="utf-8"?>
<formControlPr xmlns="http://schemas.microsoft.com/office/spreadsheetml/2009/9/main" objectType="CheckBox" fmlaLink="'R4UD_Ref'!$J$10" lockText="1"/>
</file>

<file path=xl/ctrlProps/ctrlProp17.xml><?xml version="1.0" encoding="utf-8"?>
<formControlPr xmlns="http://schemas.microsoft.com/office/spreadsheetml/2009/9/main" objectType="Drop" dropStyle="combo" dx="16" fmlaLink="'R2U_Ref'!$D$87" fmlaRange="'R2U_Ref'!$D$80:$D$86" sel="7" val="0"/>
</file>

<file path=xl/ctrlProps/ctrlProp170.xml><?xml version="1.0" encoding="utf-8"?>
<formControlPr xmlns="http://schemas.microsoft.com/office/spreadsheetml/2009/9/main" objectType="Drop" dropStyle="combo" dx="16" fmlaLink="'R4UD_Ref'!$D$108" fmlaRange="'R4UD_Ref'!$D$104:$D$107" sel="4" val="0"/>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checked="Checked" firstButton="1" fmlaLink="'R4UD_Ref'!$M$14"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Drop" dropStyle="combo" dx="16" fmlaLink="'R4UD_Ref'!$D$124" fmlaRange="'R4UD_Ref'!$C$124:$C$125" sel="1" val="0"/>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Radio" firstButton="1" fmlaLink="'R4UD_Ref'!$C$19" lockText="1"/>
</file>

<file path=xl/ctrlProps/ctrlProp177.xml><?xml version="1.0" encoding="utf-8"?>
<formControlPr xmlns="http://schemas.microsoft.com/office/spreadsheetml/2009/9/main" objectType="Radio" checked="Checked" lockText="1"/>
</file>

<file path=xl/ctrlProps/ctrlProp178.xml><?xml version="1.0" encoding="utf-8"?>
<formControlPr xmlns="http://schemas.microsoft.com/office/spreadsheetml/2009/9/main" objectType="CheckBox" fmlaLink="$C$67" lockText="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Drop" dropStyle="combo" dx="16" fmlaLink="'R2U_Ref'!$D$97" fmlaRange="'R2U_Ref'!$D$88:$D$96" sel="4" val="0"/>
</file>

<file path=xl/ctrlProps/ctrlProp180.xml><?xml version="1.0" encoding="utf-8"?>
<formControlPr xmlns="http://schemas.microsoft.com/office/spreadsheetml/2009/9/main" objectType="Radio" checked="Checked" firstButton="1" fmlaLink="'R4UD_Ref'!$E$41"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checked="Checked" firstButton="1" fmlaLink="'R4UD_Ref'!$E$42"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Radio" checked="Checked" firstButton="1" fmlaLink="'R4UD_Ref'!$E$67"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R4UD_Ref'!$E$32" lockText="1" noThreeD="1"/>
</file>

<file path=xl/ctrlProps/ctrlProp19.xml><?xml version="1.0" encoding="utf-8"?>
<formControlPr xmlns="http://schemas.microsoft.com/office/spreadsheetml/2009/9/main" objectType="CheckBox" fmlaLink="'R2U_Ref'!$J$9" lockText="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Radio" checked="Checked" firstButton="1" fmlaLink="'R4UD_Ref'!$E$33"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checked="Checked" firstButton="1" fmlaLink="'R4UD_Ref'!$E$34"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Radio" checked="Checked" firstButton="1" fmlaLink="'R4UD_Ref'!$E$35"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Drop" dropStyle="combo" dx="16" fmlaLink="'R2U_Ref'!$C$14" fmlaRange="'R2U_Ref'!$C$12:$C$13" sel="2" val="0"/>
</file>

<file path=xl/ctrlProps/ctrlProp20.xml><?xml version="1.0" encoding="utf-8"?>
<formControlPr xmlns="http://schemas.microsoft.com/office/spreadsheetml/2009/9/main" objectType="Drop" dropStyle="combo" dx="16" fmlaLink="'R2U_Ref'!$H$92" fmlaRange="'R2U_Ref'!$H$90:$H$91" sel="1" val="0"/>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checked="Checked" firstButton="1" fmlaLink="'R4UD_Ref'!$E$36"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Radio" checked="Checked" firstButton="1" fmlaLink="'R4UD_Ref'!$E$37"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Radio" checked="Checked" firstButton="1" fmlaLink="'R4UD_Ref'!$E$43"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checked="Checked" fmlaLink="'R2U_Ref'!$J$10" lockText="1"/>
</file>

<file path=xl/ctrlProps/ctrlProp210.xml><?xml version="1.0" encoding="utf-8"?>
<formControlPr xmlns="http://schemas.microsoft.com/office/spreadsheetml/2009/9/main" objectType="Radio" checked="Checked" firstButton="1" fmlaLink="'R4UD_Ref'!$E$44"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R4UD_Ref'!$E$45"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Radio" checked="Checked" firstButton="1" fmlaLink="'R4UD_Ref'!$E$46"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Radio" checked="Checked" firstButton="1" fmlaLink="'R4UD_Ref'!$E$47" lockText="1" noThreeD="1"/>
</file>

<file path=xl/ctrlProps/ctrlProp22.xml><?xml version="1.0" encoding="utf-8"?>
<formControlPr xmlns="http://schemas.microsoft.com/office/spreadsheetml/2009/9/main" objectType="Drop" dropStyle="combo" dx="16" fmlaLink="'R2U_Ref'!$D$108" fmlaRange="'R2U_Ref'!$D$104:$D$107" sel="2" val="0"/>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Radio" checked="Checked" firstButton="1" fmlaLink="'R4UD_Ref'!$E$52"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R4UD_Ref'!$E$53"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Drop" dropStyle="combo" dx="16" fmlaLink="'R4UD_Ref'!$D$53" fmlaRange="'R4UD_Ref'!$G$53:$G$55" noThreeD="1" sel="1" val="0"/>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checked="Checked" firstButton="1" fmlaLink="'R4UD_Ref'!$E$56" lockText="1"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Drop" dropStyle="combo" dx="16" fmlaLink="'R4UD_Ref'!$D$56" fmlaRange="'R4UD_Ref'!$G$53:$G$55" noThreeD="1" sel="1" val="0"/>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checked="Checked" firstButton="1" fmlaLink="'R4UD_Ref'!$E$57"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Drop" dropStyle="combo" dx="16" fmlaLink="'R4UD_Ref'!$D$57" fmlaRange="'R4UD_Ref'!$G$53:$G$55" noThreeD="1" sel="2" val="0"/>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checked="Checked" firstButton="1" fmlaLink="'R4UD_Ref'!$E$58"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Drop" dropStyle="combo" dx="16" fmlaLink="'R4UD_Ref'!$D$58" fmlaRange="'R4UD_Ref'!$G$53:$G$55" noThreeD="1" sel="1" val="0"/>
</file>

<file path=xl/ctrlProps/ctrlProp24.xml><?xml version="1.0" encoding="utf-8"?>
<formControlPr xmlns="http://schemas.microsoft.com/office/spreadsheetml/2009/9/main" objectType="Radio" checked="Checked" firstButton="1" fmlaLink="'R2U_Ref'!$M$14"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checked="Checked" firstButton="1" fmlaLink="'R4UD_Ref'!$E$68"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Radio" firstButton="1" fmlaLink="'R4UD_Ref'!$E$69" lockText="1"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firstButton="1" fmlaLink="'R4UD_Ref'!$E$73" lockText="1" noThreeD="1"/>
</file>

<file path=xl/ctrlProps/ctrlProp247.xml><?xml version="1.0" encoding="utf-8"?>
<formControlPr xmlns="http://schemas.microsoft.com/office/spreadsheetml/2009/9/main" objectType="Radio" checked="Checked" lockText="1"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checked="Checked" firstButton="1" fmlaLink="'R4UD_Ref'!$E$38"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Radio" checked="Checked" firstButton="1" fmlaLink="'R4UD_Ref'!$E$119"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checked="Checked" firstButton="1" fmlaLink="'R4UD_Ref'!$E$120"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Radio" checked="Checked" firstButton="1" fmlaLink="'R4UD_Ref'!$E$121"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checked="Checked" firstButton="1" fmlaLink="'R4UD_Ref'!$E$122"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checked="Checked"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checked="Checked" firstButton="1" fmlaLink="'R4UD_Ref'!$G$67"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Radio" checked="Checked" firstButton="1" fmlaLink="'R4UD_Ref'!$G$68"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checked="Checked" firstButton="1" fmlaLink="'R2U_Ref'!$C$19" lockText="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Radio" checked="Checked" firstButton="1" fmlaLink="'R4UD_Ref'!$F$31"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Radio" checked="Checked" firstButton="1" fmlaLink="'R4UD_Ref'!$G$31"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checked="Checked" firstButton="1" fmlaLink="'R4UD_Ref'!$H$31"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file>

<file path=xl/ctrlProps/ctrlProp280.xml><?xml version="1.0" encoding="utf-8"?>
<formControlPr xmlns="http://schemas.microsoft.com/office/spreadsheetml/2009/9/main" objectType="Radio" checked="Checked" firstButton="1" fmlaLink="'R4UD_Ref'!$E$48"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Radio" checked="Checked" firstButton="1" fmlaLink="'R4UD_Ref'!$E$49"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checked="Checked" firstButton="1" fmlaLink="'R4UD_Ref'!$E$50"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checked="Checked" firstButton="1" fmlaLink="'R4UD_Ref'!$E$51" lockText="1" noThreeD="1"/>
</file>

<file path=xl/ctrlProps/ctrlProp29.xml><?xml version="1.0" encoding="utf-8"?>
<formControlPr xmlns="http://schemas.microsoft.com/office/spreadsheetml/2009/9/main" objectType="CheckBox" fmlaLink="'R2U_Ref'!$J$15" lockText="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R4UD_Ref'!$E$59" lockText="1" noThreeD="1"/>
</file>

<file path=xl/ctrlProps/ctrlProp293.xml><?xml version="1.0" encoding="utf-8"?>
<formControlPr xmlns="http://schemas.microsoft.com/office/spreadsheetml/2009/9/main" objectType="Radio" checked="Checked" lockText="1"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Radio" firstButton="1" fmlaLink="'R4UD_Ref'!$E$60" lockText="1" noThreeD="1"/>
</file>

<file path=xl/ctrlProps/ctrlProp296.xml><?xml version="1.0" encoding="utf-8"?>
<formControlPr xmlns="http://schemas.microsoft.com/office/spreadsheetml/2009/9/main" objectType="Radio" checked="Checked" lockText="1"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Radio" firstButton="1" fmlaLink="'R4UD_Ref'!$E$61" lockText="1" noThreeD="1"/>
</file>

<file path=xl/ctrlProps/ctrlProp29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CheckBox" fmlaLink="'R2U_Ref'!$J$7" lockText="1"/>
</file>

<file path=xl/ctrlProps/ctrlProp30.xml><?xml version="1.0" encoding="utf-8"?>
<formControlPr xmlns="http://schemas.microsoft.com/office/spreadsheetml/2009/9/main" objectType="CheckBox" fmlaLink="$C$67"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fmlaLink="'R4UD_Ref'!$E$62" lockText="1" noThreeD="1"/>
</file>

<file path=xl/ctrlProps/ctrlProp302.xml><?xml version="1.0" encoding="utf-8"?>
<formControlPr xmlns="http://schemas.microsoft.com/office/spreadsheetml/2009/9/main" objectType="Radio" checked="Checked"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Radio" firstButton="1" fmlaLink="'R4UD_Ref'!$E$63" lockText="1" noThreeD="1"/>
</file>

<file path=xl/ctrlProps/ctrlProp305.xml><?xml version="1.0" encoding="utf-8"?>
<formControlPr xmlns="http://schemas.microsoft.com/office/spreadsheetml/2009/9/main" objectType="Radio" checked="Checked" lockText="1" noThreeD="1"/>
</file>

<file path=xl/ctrlProps/ctrlProp306.xml><?xml version="1.0" encoding="utf-8"?>
<formControlPr xmlns="http://schemas.microsoft.com/office/spreadsheetml/2009/9/main" objectType="Drop" dropStyle="combo" dx="16" fmlaLink="FWY_Ref!$C$11" fmlaRange="FWY_Ref!$C$8:$C$10" sel="1" val="0"/>
</file>

<file path=xl/ctrlProps/ctrlProp307.xml><?xml version="1.0" encoding="utf-8"?>
<formControlPr xmlns="http://schemas.microsoft.com/office/spreadsheetml/2009/9/main" objectType="Drop" dropStyle="combo" dx="16" fmlaLink="FWY_Ref!$C$14" fmlaRange="FWY_Ref!$C$12:$C$13" sel="2" val="0"/>
</file>

<file path=xl/ctrlProps/ctrlProp308.xml><?xml version="1.0" encoding="utf-8"?>
<formControlPr xmlns="http://schemas.microsoft.com/office/spreadsheetml/2009/9/main" objectType="CheckBox" fmlaLink="FWY_Ref!$J$7" lockText="1"/>
</file>

<file path=xl/ctrlProps/ctrlProp309.xml><?xml version="1.0" encoding="utf-8"?>
<formControlPr xmlns="http://schemas.microsoft.com/office/spreadsheetml/2009/9/main" objectType="CheckBox" fmlaLink="FWY_Ref!$J$8" lockText="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checked="Checked" firstButton="1" fmlaLink="FWY_Ref!$C$7"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CheckBox" fmlaLink="FWY_Ref!$J$11" lockText="1"/>
</file>

<file path=xl/ctrlProps/ctrlProp314.xml><?xml version="1.0" encoding="utf-8"?>
<formControlPr xmlns="http://schemas.microsoft.com/office/spreadsheetml/2009/9/main" objectType="CheckBox" fmlaLink="FWY_Ref!$J$12" lockText="1"/>
</file>

<file path=xl/ctrlProps/ctrlProp315.xml><?xml version="1.0" encoding="utf-8"?>
<formControlPr xmlns="http://schemas.microsoft.com/office/spreadsheetml/2009/9/main" objectType="CheckBox" fmlaLink="FWY_Ref!$J$13" lockText="1"/>
</file>

<file path=xl/ctrlProps/ctrlProp316.xml><?xml version="1.0" encoding="utf-8"?>
<formControlPr xmlns="http://schemas.microsoft.com/office/spreadsheetml/2009/9/main" objectType="Drop" dropStyle="combo" dx="16" fmlaLink="FWY_Ref!$C$88" fmlaRange="FWY_Ref!$C$80:$C$83" sel="4" val="0"/>
</file>

<file path=xl/ctrlProps/ctrlProp317.xml><?xml version="1.0" encoding="utf-8"?>
<formControlPr xmlns="http://schemas.microsoft.com/office/spreadsheetml/2009/9/main" objectType="Drop" dropLines="12" dropStyle="combo" dx="16" fmlaLink="FWY_Ref!$C$100" fmlaRange="FWY_Ref!$C$89:$C$97" sel="3" val="0"/>
</file>

<file path=xl/ctrlProps/ctrlProp318.xml><?xml version="1.0" encoding="utf-8"?>
<formControlPr xmlns="http://schemas.microsoft.com/office/spreadsheetml/2009/9/main" objectType="Drop" dropLines="12" dropStyle="combo" dx="16" fmlaLink="FWY_Ref!$C$112" fmlaRange="FWY_Ref!$C$101:$C$111" sel="1" val="0"/>
</file>

<file path=xl/ctrlProps/ctrlProp319.xml><?xml version="1.0" encoding="utf-8"?>
<formControlPr xmlns="http://schemas.microsoft.com/office/spreadsheetml/2009/9/main" objectType="Drop" dropStyle="combo" dx="16" fmlaLink="FWY_Ref!$C$117" fmlaRange="FWY_Ref!$C$113:$C$116" sel="2" val="0"/>
</file>

<file path=xl/ctrlProps/ctrlProp32.xml><?xml version="1.0" encoding="utf-8"?>
<formControlPr xmlns="http://schemas.microsoft.com/office/spreadsheetml/2009/9/main" objectType="Radio" firstButton="1" fmlaLink="'R2U_Ref'!$E$41" lockText="1" noThreeD="1"/>
</file>

<file path=xl/ctrlProps/ctrlProp320.xml><?xml version="1.0" encoding="utf-8"?>
<formControlPr xmlns="http://schemas.microsoft.com/office/spreadsheetml/2009/9/main" objectType="Drop" dropStyle="combo" dx="16" fmlaLink="FWY_Ref!$C$123" fmlaRange="FWY_Ref!$C$121:$C$122" sel="2" val="0"/>
</file>

<file path=xl/ctrlProps/ctrlProp321.xml><?xml version="1.0" encoding="utf-8"?>
<formControlPr xmlns="http://schemas.microsoft.com/office/spreadsheetml/2009/9/main" objectType="Drop" dropStyle="combo" dx="16" fmlaLink="FWY_Ref!$D$88" fmlaRange="FWY_Ref!$D$80:$D$83" sel="4" val="0"/>
</file>

<file path=xl/ctrlProps/ctrlProp322.xml><?xml version="1.0" encoding="utf-8"?>
<formControlPr xmlns="http://schemas.microsoft.com/office/spreadsheetml/2009/9/main" objectType="Drop" dropLines="12" dropStyle="combo" dx="16" fmlaLink="FWY_Ref!$D$100" fmlaRange="FWY_Ref!$D$89:$D$97" sel="5" val="0"/>
</file>

<file path=xl/ctrlProps/ctrlProp323.xml><?xml version="1.0" encoding="utf-8"?>
<formControlPr xmlns="http://schemas.microsoft.com/office/spreadsheetml/2009/9/main" objectType="CheckBox" fmlaLink="FWY_Ref!$J$9" lockText="1"/>
</file>

<file path=xl/ctrlProps/ctrlProp324.xml><?xml version="1.0" encoding="utf-8"?>
<formControlPr xmlns="http://schemas.microsoft.com/office/spreadsheetml/2009/9/main" objectType="Drop" dropLines="12" dropStyle="combo" dx="16" fmlaLink="FWY_Ref!$D$112" fmlaRange="FWY_Ref!$D$101:$D$111" sel="11" val="0"/>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Radio" checked="Checked" firstButton="1" fmlaLink="FWY_Ref!$M$14"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Drop" dropStyle="combo" dx="16" fmlaLink="FWY_Ref!$D$133" fmlaRange="FWY_Ref!$C$133:$C$134" sel="1" val="0"/>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lockText="1" noThreeD="1"/>
</file>

<file path=xl/ctrlProps/ctrlProp330.xml><?xml version="1.0" encoding="utf-8"?>
<formControlPr xmlns="http://schemas.microsoft.com/office/spreadsheetml/2009/9/main" objectType="Radio" checked="Checked" firstButton="1" fmlaLink="FWY_Ref!$C$19"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Drop" dropStyle="combo" dx="16" fmlaLink="FWY_Ref!$C$182" fmlaRange="FWY_Ref!$B$183:$B$186" sel="1" val="0"/>
</file>

<file path=xl/ctrlProps/ctrlProp333.xml><?xml version="1.0" encoding="utf-8"?>
<formControlPr xmlns="http://schemas.microsoft.com/office/spreadsheetml/2009/9/main" objectType="Drop" dropStyle="combo" dx="16" fmlaLink="FWY_Ref!$G$123" fmlaRange="FWY_Ref!$G$121:$G$122" sel="2" val="0"/>
</file>

<file path=xl/ctrlProps/ctrlProp334.xml><?xml version="1.0" encoding="utf-8"?>
<formControlPr xmlns="http://schemas.microsoft.com/office/spreadsheetml/2009/9/main" objectType="Drop" dropStyle="combo" dx="16" fmlaLink="FWY_Ref!$C$131" fmlaRange="FWY_Ref!$C$127:$C$130" sel="4" val="0"/>
</file>

<file path=xl/ctrlProps/ctrlProp335.xml><?xml version="1.0" encoding="utf-8"?>
<formControlPr xmlns="http://schemas.microsoft.com/office/spreadsheetml/2009/9/main" objectType="Drop" dropStyle="combo" dx="16" fmlaLink="FWY_Ref!$G$129" fmlaRange="FWY_Ref!$G$127:$G$128" sel="2" val="0"/>
</file>

<file path=xl/ctrlProps/ctrlProp336.xml><?xml version="1.0" encoding="utf-8"?>
<formControlPr xmlns="http://schemas.microsoft.com/office/spreadsheetml/2009/9/main" objectType="CheckBox" fmlaLink="FWY_Ref!$J$15" lockText="1"/>
</file>

<file path=xl/ctrlProps/ctrlProp337.xml><?xml version="1.0" encoding="utf-8"?>
<formControlPr xmlns="http://schemas.microsoft.com/office/spreadsheetml/2009/9/main" objectType="Drop" dropStyle="combo" dx="16" fmlaLink="FWY_Ref!$A$274" fmlaRange="FWY_Ref!$B$271:$B$273" sel="1" val="0"/>
</file>

<file path=xl/ctrlProps/ctrlProp338.xml><?xml version="1.0" encoding="utf-8"?>
<formControlPr xmlns="http://schemas.microsoft.com/office/spreadsheetml/2009/9/main" objectType="Drop" dropStyle="combo" dx="16" fmlaLink="FWY_Ref!$J$80" fmlaRange="FWY_Ref!$I$80:$I$81" sel="1" val="0"/>
</file>

<file path=xl/ctrlProps/ctrlProp339.xml><?xml version="1.0" encoding="utf-8"?>
<formControlPr xmlns="http://schemas.microsoft.com/office/spreadsheetml/2009/9/main" objectType="Drop" dropStyle="combo" dx="16" fmlaLink="FWY_Ref!$J$131" fmlaRange="FWY_Ref!$I$132:$I$136" sel="4" val="0"/>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CheckBox" fmlaLink="$C$120" lockText="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Radio" checked="Checked" firstButton="1" fmlaLink="FWY_Ref!$E$41"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checked="Checked" firstButton="1" fmlaLink="FWY_Ref!$E$42"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checked="Checked" firstButton="1" fmlaLink="FWY_Ref!$E$32" lockText="1" noThreeD="1"/>
</file>

<file path=xl/ctrlProps/ctrlProp35.xml><?xml version="1.0" encoding="utf-8"?>
<formControlPr xmlns="http://schemas.microsoft.com/office/spreadsheetml/2009/9/main" objectType="Radio" firstButton="1" fmlaLink="'R2U_Ref'!$E$42" lockText="1" noThreeD="1"/>
</file>

<file path=xl/ctrlProps/ctrlProp350.xml><?xml version="1.0" encoding="utf-8"?>
<formControlPr xmlns="http://schemas.microsoft.com/office/spreadsheetml/2009/9/main" objectType="Radio" lockText="1"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Radio" checked="Checked" firstButton="1" fmlaLink="FWY_Ref!$E$33"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Radio" checked="Checked" firstButton="1" fmlaLink="FWY_Ref!$E$34" lockText="1" noThreeD="1"/>
</file>

<file path=xl/ctrlProps/ctrlProp356.xml><?xml version="1.0" encoding="utf-8"?>
<formControlPr xmlns="http://schemas.microsoft.com/office/spreadsheetml/2009/9/main" objectType="Radio" lockText="1"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Radio" checked="Checked" firstButton="1" fmlaLink="FWY_Ref!$E$35"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checked="Checked" firstButton="1" fmlaLink="FWY_Ref!$E$36"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Radio" checked="Checked" firstButton="1" fmlaLink="FWY_Ref!$E$37"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checked="Checked" firstButton="1" fmlaLink="FWY_Ref!$E$43"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Radio" checked="Checked" firstButton="1" fmlaLink="FWY_Ref!$E$4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checked="Checked" firstButton="1" fmlaLink="FWY_Ref!$E$46"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Radio" checked="Checked" firstButton="1" fmlaLink="FWY_Ref!$K$41"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Radio" checked="Checked" firstButton="1" fmlaLink="FWY_Ref!$E$52" lockText="1" noThreeD="1"/>
</file>

<file path=xl/ctrlProps/ctrlProp38.xml><?xml version="1.0" encoding="utf-8"?>
<formControlPr xmlns="http://schemas.microsoft.com/office/spreadsheetml/2009/9/main" objectType="Radio" checked="Checked" firstButton="1" fmlaLink="'R2U_Ref'!$E$67"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Radio" checked="Checked" firstButton="1" fmlaLink="FWY_Ref!$E$53"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Drop" dropStyle="combo" dx="16" fmlaLink="FWY_Ref!$D$53" fmlaRange="FWY_Ref!$G$53:$G$55" noThreeD="1" sel="1" val="0"/>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Radio" checked="Checked" firstButton="1" fmlaLink="FWY_Ref!$E$55"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Drop" dropStyle="combo" dx="16" fmlaLink="FWY_Ref!$D$55" fmlaRange="FWY_Ref!$G$53:$G$55" noThreeD="1" sel="1" val="0"/>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390.xml><?xml version="1.0" encoding="utf-8"?>
<formControlPr xmlns="http://schemas.microsoft.com/office/spreadsheetml/2009/9/main" objectType="Radio" checked="Checked" firstButton="1" fmlaLink="FWY_Ref!$E$56"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Drop" dropStyle="combo" dx="16" fmlaLink="FWY_Ref!$D$56" fmlaRange="FWY_Ref!$G$53:$G$55" noThreeD="1" sel="3" val="0"/>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Radio" checked="Checked" firstButton="1" fmlaLink="FWY_Ref!$E$57"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Drop" dropStyle="combo" dx="16" fmlaLink="FWY_Ref!$D$57" fmlaRange="FWY_Ref!$G$53:$G$55" noThreeD="1" sel="2" val="0"/>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checked="Checked" firstButton="1" fmlaLink="FWY_Ref!$G$69"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R2U_Ref'!$J$8" lockText="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checked="Checked" firstButton="1" fmlaLink="FWY_Ref!$E$131" lockText="1" noThreeD="1"/>
</file>

<file path=xl/ctrlProps/ctrlProp402.xml><?xml version="1.0" encoding="utf-8"?>
<formControlPr xmlns="http://schemas.microsoft.com/office/spreadsheetml/2009/9/main" objectType="Radio" lockText="1"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checked="Checked" firstButton="1" fmlaLink="FWY_Ref!$G$70"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Radio" checked="Checked" firstButton="1" fmlaLink="FWY_Ref!$F$31"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checked="Checked" firstButton="1" fmlaLink="'R2U_Ref'!$E$32"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Radio" checked="Checked" firstButton="1" fmlaLink="FWY_Ref!$G$31" lockText="1" noThreeD="1"/>
</file>

<file path=xl/ctrlProps/ctrlProp412.xml><?xml version="1.0" encoding="utf-8"?>
<formControlPr xmlns="http://schemas.microsoft.com/office/spreadsheetml/2009/9/main" objectType="Radio" lockText="1"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Radio" checked="Checked" firstButton="1" fmlaLink="FWY_Ref!$H$31"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checked="Checked" firstButton="1" fmlaLink="FWY_Ref!$N$42" lockText="1" noThreeD="1"/>
</file>

<file path=xl/ctrlProps/ctrlProp418.xml><?xml version="1.0" encoding="utf-8"?>
<formControlPr xmlns="http://schemas.microsoft.com/office/spreadsheetml/2009/9/main" objectType="Radio" lockText="1"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20.xml><?xml version="1.0" encoding="utf-8"?>
<formControlPr xmlns="http://schemas.microsoft.com/office/spreadsheetml/2009/9/main" objectType="Radio" checked="Checked" firstButton="1" fmlaLink="FWY_Ref!$N$43"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Radio" checked="Checked" firstButton="1" fmlaLink="FWY_Ref!$N$44"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Radio" checked="Checked" firstButton="1" fmlaLink="FWY_Ref!$N$45" lockText="1" noThreeD="1"/>
</file>

<file path=xl/ctrlProps/ctrlProp427.xml><?xml version="1.0" encoding="utf-8"?>
<formControlPr xmlns="http://schemas.microsoft.com/office/spreadsheetml/2009/9/main" objectType="Radio" lockText="1"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Radio" checked="Checked" firstButton="1" fmlaLink="FWY_Ref!$E$59"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Radio" lockText="1"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Radio" checked="Checked" firstButton="1" fmlaLink="FWY_Ref!$E$60" lockText="1" noThreeD="1"/>
</file>

<file path=xl/ctrlProps/ctrlProp433.xml><?xml version="1.0" encoding="utf-8"?>
<formControlPr xmlns="http://schemas.microsoft.com/office/spreadsheetml/2009/9/main" objectType="Radio" lockText="1"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Radio" checked="Checked" firstButton="1" fmlaLink="FWY_Ref!$E$61" lockText="1" noThreeD="1"/>
</file>

<file path=xl/ctrlProps/ctrlProp436.xml><?xml version="1.0" encoding="utf-8"?>
<formControlPr xmlns="http://schemas.microsoft.com/office/spreadsheetml/2009/9/main" objectType="Radio" lockText="1"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Radio" checked="Checked" firstButton="1" fmlaLink="FWY_Ref!$E$62"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R2U_Ref'!$E$33" lockText="1"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checked="Checked" firstButton="1" fmlaLink="FWY_Ref!$E$63" lockText="1" noThreeD="1"/>
</file>

<file path=xl/ctrlProps/ctrlProp442.xml><?xml version="1.0" encoding="utf-8"?>
<formControlPr xmlns="http://schemas.microsoft.com/office/spreadsheetml/2009/9/main" objectType="Radio" lockText="1" noThreeD="1"/>
</file>

<file path=xl/ctrlProps/ctrlProp443.xml><?xml version="1.0" encoding="utf-8"?>
<formControlPr xmlns="http://schemas.microsoft.com/office/spreadsheetml/2009/9/main" objectType="Radio" checked="Checked" firstButton="1" fmlaLink="FWY_Ref!$G$67"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checked="Checked" firstButton="1" fmlaLink="FWY_Ref!$G$68"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Radio" checked="Checked" firstButton="1" fmlaLink="FWY_Ref!$G$71"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Radio" checked="Checked" firstButton="1" fmlaLink="FWY_Ref!$K$42"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Radio" checked="Checked" firstButton="1" fmlaLink="FWY_Ref!$K$43"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checked="Checked" firstButton="1" fmlaLink="FWY_Ref!$K$44"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Radio" checked="Checked" firstButton="1" fmlaLink="FWY_Ref!$K$45"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Radio" checked="Checked" firstButton="1" fmlaLink="FWY_Ref!$K$46"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GBox" noThreeD="1"/>
</file>

<file path=xl/ctrlProps/ctrlProp466.xml><?xml version="1.0" encoding="utf-8"?>
<formControlPr xmlns="http://schemas.microsoft.com/office/spreadsheetml/2009/9/main" objectType="Radio" checked="Checked" firstButton="1" fmlaLink="FWY_Ref!$K$47"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checked="Checked" firstButton="1" fmlaLink="FWY_Ref!$K$48" lockText="1" noThreeD="1"/>
</file>

<file path=xl/ctrlProps/ctrlProp47.xml><?xml version="1.0" encoding="utf-8"?>
<formControlPr xmlns="http://schemas.microsoft.com/office/spreadsheetml/2009/9/main" objectType="Radio" firstButton="1" fmlaLink="'R2U_Ref'!$E$34"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GBox" noThreeD="1"/>
</file>

<file path=xl/ctrlProps/ctrlProp472.xml><?xml version="1.0" encoding="utf-8"?>
<formControlPr xmlns="http://schemas.microsoft.com/office/spreadsheetml/2009/9/main" objectType="Radio" checked="Checked" firstButton="1" fmlaLink="FWY_Ref!$K$49" lockText="1" noThreeD="1"/>
</file>

<file path=xl/ctrlProps/ctrlProp473.xml><?xml version="1.0" encoding="utf-8"?>
<formControlPr xmlns="http://schemas.microsoft.com/office/spreadsheetml/2009/9/main" objectType="Radio" lockText="1" noThreeD="1"/>
</file>

<file path=xl/ctrlProps/ctrlProp474.xml><?xml version="1.0" encoding="utf-8"?>
<formControlPr xmlns="http://schemas.microsoft.com/office/spreadsheetml/2009/9/main" objectType="GBox" noThreeD="1"/>
</file>

<file path=xl/ctrlProps/ctrlProp475.xml><?xml version="1.0" encoding="utf-8"?>
<formControlPr xmlns="http://schemas.microsoft.com/office/spreadsheetml/2009/9/main" objectType="Radio" checked="Checked" firstButton="1" fmlaLink="FWY_Ref!$K$50"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checked="Checked" firstButton="1" fmlaLink="FWY_Ref!$N$46"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checked="Checked" firstButton="1" fmlaLink="FWY_Ref!$N$49"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GBox" noThreeD="1"/>
</file>

<file path=xl/ctrlProps/ctrlProp484.xml><?xml version="1.0" encoding="utf-8"?>
<formControlPr xmlns="http://schemas.microsoft.com/office/spreadsheetml/2009/9/main" objectType="Radio" checked="Checked" firstButton="1" fmlaLink="FWY_Ref!$N$50"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GBox" noThreeD="1"/>
</file>

<file path=xl/ctrlProps/ctrlProp487.xml><?xml version="1.0" encoding="utf-8"?>
<formControlPr xmlns="http://schemas.microsoft.com/office/spreadsheetml/2009/9/main" objectType="Radio" checked="Checked" firstButton="1" fmlaLink="FWY_Ref!$N$51" lockText="1" noThreeD="1"/>
</file>

<file path=xl/ctrlProps/ctrlProp488.xml><?xml version="1.0" encoding="utf-8"?>
<formControlPr xmlns="http://schemas.microsoft.com/office/spreadsheetml/2009/9/main" objectType="Radio" lockText="1"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490.xml><?xml version="1.0" encoding="utf-8"?>
<formControlPr xmlns="http://schemas.microsoft.com/office/spreadsheetml/2009/9/main" objectType="Radio" checked="Checked" firstButton="1" fmlaLink="FWY_Ref!$N$52"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checked="Checked" firstButton="1" fmlaLink="FWY_Ref!$N$53"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Radio" checked="Checked" firstButton="1" fmlaLink="FWY_Ref!$N$56"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Radio" checked="Checked" firstButton="1" fmlaLink="FWY_Ref!$N$57" lockText="1" noThreeD="1"/>
</file>

<file path=xl/ctrlProps/ctrlProp5.xml><?xml version="1.0" encoding="utf-8"?>
<formControlPr xmlns="http://schemas.microsoft.com/office/spreadsheetml/2009/9/main" objectType="Radio" checked="Checked" firstButton="1" fmlaLink="'R2U_Ref'!$C$7" lockText="1"/>
</file>

<file path=xl/ctrlProps/ctrlProp50.xml><?xml version="1.0" encoding="utf-8"?>
<formControlPr xmlns="http://schemas.microsoft.com/office/spreadsheetml/2009/9/main" objectType="Radio" firstButton="1" fmlaLink="'R2U_Ref'!$E$35"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checked="Checked" firstButton="1" fmlaLink="FWY_Ref!$N$58"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checked="Checked" firstButton="1" fmlaLink="FWY_Ref!$N$59"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Radio" checked="Checked" firstButton="1" fmlaLink="FWY_Ref!$N$60"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Radio" checked="Checked" firstButton="1" fmlaLink="FWY_Ref!$N$63"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checked="Checked" firstButton="1" fmlaLink="FWY_Ref!$N$64"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checked="Checked" firstButton="1" fmlaLink="FWY_Ref!$N$65"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Radio" checked="Checked" firstButton="1" fmlaLink="FWY_Ref!$N$66"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Radio" checked="Checked" firstButton="1" fmlaLink="FWY_Ref!$N$67"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checked="Checked" firstButton="1" fmlaLink="FWY_Ref!$N$70"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checked="Checked" firstButton="1" fmlaLink="FWY_Ref!$N$71" lockText="1" noThreeD="1"/>
</file>

<file path=xl/ctrlProps/ctrlProp53.xml><?xml version="1.0" encoding="utf-8"?>
<formControlPr xmlns="http://schemas.microsoft.com/office/spreadsheetml/2009/9/main" objectType="Radio" firstButton="1" fmlaLink="'R2U_Ref'!$E$36"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checked="Checked" firstButton="1" fmlaLink="FWY_Ref!$N$72"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Radio" checked="Checked" firstButton="1" fmlaLink="FWY_Ref!$N$73"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checked="Checked" firstButton="1" fmlaLink="FWY_Ref!$N$74"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checked="Checked" firstButton="1" fmlaLink="FWY_Ref!$N$77"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Radio" checked="Checked" firstButton="1" fmlaLink="FWY_Ref!$N$78"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Radio" checked="Checked" firstButton="1" fmlaLink="FWY_Ref!$N$79"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50.xml><?xml version="1.0" encoding="utf-8"?>
<formControlPr xmlns="http://schemas.microsoft.com/office/spreadsheetml/2009/9/main" objectType="Radio" checked="Checked" firstButton="1" fmlaLink="FWY_Ref!$N$80"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checked="Checked" firstButton="1" fmlaLink="FWY_Ref!$N$81"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Radio" checked="Checked" firstButton="1" fmlaLink="FWY_Ref!$N$84"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Radio" checked="Checked" firstButton="1" fmlaLink="FWY_Ref!$N$85" lockText="1" noThreeD="1"/>
</file>

<file path=xl/ctrlProps/ctrlProp56.xml><?xml version="1.0" encoding="utf-8"?>
<formControlPr xmlns="http://schemas.microsoft.com/office/spreadsheetml/2009/9/main" objectType="Radio" firstButton="1" fmlaLink="'R2U_Ref'!$E$37"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Radio" checked="Checked" firstButton="1" fmlaLink="FWY_Ref!$N$86"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checked="Checked" firstButton="1" fmlaLink="FWY_Ref!$N$87"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Radio" checked="Checked" firstButton="1" fmlaLink="FWY_Ref!$N$88"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Radio" checked="Checked" firstButton="1" fmlaLink="FWY_Ref!$K$51"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Radio" checked="Checked" firstButton="1" fmlaLink="FWY_Ref!$K$52"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checked="Checked" firstButton="1" fmlaLink="FWY_Ref!$K$53"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80.xml><?xml version="1.0" encoding="utf-8"?>
<formControlPr xmlns="http://schemas.microsoft.com/office/spreadsheetml/2009/9/main" objectType="Radio" checked="Checked" firstButton="1" fmlaLink="FWY_Ref!$E$54" lockText="1" noThreeD="1"/>
</file>

<file path=xl/ctrlProps/ctrlProp581.xml><?xml version="1.0" encoding="utf-8"?>
<formControlPr xmlns="http://schemas.microsoft.com/office/spreadsheetml/2009/9/main" objectType="Drop" dropStyle="combo" dx="16" fmlaLink="FWY_Ref!$D$54" fmlaRange="FWY_Ref!$G$53:$G$55" noThreeD="1" sel="1" val="0"/>
</file>

<file path=xl/ctrlProps/ctrlProp582.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R2U_Ref'!$E$43" lockText="1"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fmlaLink="'R2U_Ref'!$E$44"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R2U_Ref'!$E$45"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R2U_Ref'!$E$46"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checked="Checked" firstButton="1" fmlaLink="'R2U_Ref'!$E$4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R2U_Ref'!$E$52"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R2U_Ref'!$E$53"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Drop" dropStyle="combo" dx="16" fmlaLink="'R2U_Ref'!$D$53" fmlaRange="'R2U_Ref'!$G$53:$G$55" noThreeD="1" sel="2" val="0"/>
</file>

<file path=xl/ctrlProps/ctrlProp8.xml><?xml version="1.0" encoding="utf-8"?>
<formControlPr xmlns="http://schemas.microsoft.com/office/spreadsheetml/2009/9/main" objectType="CheckBox" fmlaLink="'R2U_Ref'!$J$11" lockText="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fmlaLink="'R2U_Ref'!$E$56"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Drop" dropStyle="combo" dx="16" fmlaLink="'R2U_Ref'!$D$56" fmlaRange="'R2U_Ref'!$G$53:$G$55" noThreeD="1" sel="2" val="0"/>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fmlaLink="'R2U_Ref'!$E$57"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Drop" dropStyle="combo" dx="16" fmlaLink="'R2U_Ref'!$D$57" fmlaRange="'R2U_Ref'!$G$53:$G$55" noThreeD="1" sel="2" val="0"/>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checked="Checked" firstButton="1" fmlaLink="'R2U_Ref'!$E$58" lockText="1" noThreeD="1"/>
</file>

<file path=xl/ctrlProps/ctrlProp9.xml><?xml version="1.0" encoding="utf-8"?>
<formControlPr xmlns="http://schemas.microsoft.com/office/spreadsheetml/2009/9/main" objectType="CheckBox" fmlaLink="'R2U_Ref'!$J$12" lockText="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Drop" dropStyle="combo" dx="16" fmlaLink="'R2U_Ref'!$D$58" fmlaRange="'R2U_Ref'!$G$53:$G$55" noThreeD="1" sel="2" val="0"/>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checked="Checked" firstButton="1" fmlaLink="'R2U_Ref'!$E$68"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R2U_Ref'!$E$69"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fmlaLink="'R2U_Ref'!$E$73" lockText="1" noThreeD="1"/>
</file>

<file path=xl/ctrlProps/ctrlProp99.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5</xdr:row>
          <xdr:rowOff>28575</xdr:rowOff>
        </xdr:from>
        <xdr:to>
          <xdr:col>2</xdr:col>
          <xdr:colOff>1209675</xdr:colOff>
          <xdr:row>5</xdr:row>
          <xdr:rowOff>238125</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xdr:row>
          <xdr:rowOff>9525</xdr:rowOff>
        </xdr:from>
        <xdr:to>
          <xdr:col>2</xdr:col>
          <xdr:colOff>1200150</xdr:colOff>
          <xdr:row>6</xdr:row>
          <xdr:rowOff>228600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28</xdr:row>
          <xdr:rowOff>38100</xdr:rowOff>
        </xdr:from>
        <xdr:to>
          <xdr:col>2</xdr:col>
          <xdr:colOff>790575</xdr:colOff>
          <xdr:row>28</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29</xdr:row>
          <xdr:rowOff>38100</xdr:rowOff>
        </xdr:from>
        <xdr:to>
          <xdr:col>2</xdr:col>
          <xdr:colOff>790575</xdr:colOff>
          <xdr:row>29</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1866900</xdr:colOff>
          <xdr:row>9</xdr:row>
          <xdr:rowOff>9525</xdr:rowOff>
        </xdr:from>
        <xdr:to>
          <xdr:col>2</xdr:col>
          <xdr:colOff>133350</xdr:colOff>
          <xdr:row>9</xdr:row>
          <xdr:rowOff>228600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1866900</xdr:colOff>
          <xdr:row>10</xdr:row>
          <xdr:rowOff>9525</xdr:rowOff>
        </xdr:from>
        <xdr:to>
          <xdr:col>2</xdr:col>
          <xdr:colOff>142875</xdr:colOff>
          <xdr:row>10</xdr:row>
          <xdr:rowOff>228600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xdr:row>
          <xdr:rowOff>0</xdr:rowOff>
        </xdr:from>
        <xdr:to>
          <xdr:col>2</xdr:col>
          <xdr:colOff>1228725</xdr:colOff>
          <xdr:row>10</xdr:row>
          <xdr:rowOff>238125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32</xdr:row>
          <xdr:rowOff>19050</xdr:rowOff>
        </xdr:from>
        <xdr:to>
          <xdr:col>2</xdr:col>
          <xdr:colOff>762000</xdr:colOff>
          <xdr:row>32</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33</xdr:row>
          <xdr:rowOff>28575</xdr:rowOff>
        </xdr:from>
        <xdr:to>
          <xdr:col>2</xdr:col>
          <xdr:colOff>695325</xdr:colOff>
          <xdr:row>33</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34</xdr:row>
          <xdr:rowOff>38100</xdr:rowOff>
        </xdr:from>
        <xdr:to>
          <xdr:col>2</xdr:col>
          <xdr:colOff>676275</xdr:colOff>
          <xdr:row>34</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28575</xdr:rowOff>
        </xdr:from>
        <xdr:to>
          <xdr:col>2</xdr:col>
          <xdr:colOff>1209675</xdr:colOff>
          <xdr:row>14</xdr:row>
          <xdr:rowOff>228600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38100</xdr:rowOff>
        </xdr:from>
        <xdr:to>
          <xdr:col>2</xdr:col>
          <xdr:colOff>1209675</xdr:colOff>
          <xdr:row>15</xdr:row>
          <xdr:rowOff>238125</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xdr:row>
          <xdr:rowOff>28575</xdr:rowOff>
        </xdr:from>
        <xdr:to>
          <xdr:col>2</xdr:col>
          <xdr:colOff>1200150</xdr:colOff>
          <xdr:row>16</xdr:row>
          <xdr:rowOff>228600</xdr:rowOff>
        </xdr:to>
        <xdr:sp macro="" textlink="">
          <xdr:nvSpPr>
            <xdr:cNvPr id="1068" name="Drop Dow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28575</xdr:rowOff>
        </xdr:from>
        <xdr:to>
          <xdr:col>2</xdr:col>
          <xdr:colOff>1209675</xdr:colOff>
          <xdr:row>17</xdr:row>
          <xdr:rowOff>228600</xdr:rowOff>
        </xdr:to>
        <xdr:sp macro="" textlink="">
          <xdr:nvSpPr>
            <xdr:cNvPr id="1069" name="Drop Down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28575</xdr:rowOff>
        </xdr:from>
        <xdr:to>
          <xdr:col>2</xdr:col>
          <xdr:colOff>1209675</xdr:colOff>
          <xdr:row>18</xdr:row>
          <xdr:rowOff>228600</xdr:rowOff>
        </xdr:to>
        <xdr:sp macro="" textlink="">
          <xdr:nvSpPr>
            <xdr:cNvPr id="1070" name="Drop Down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38100</xdr:rowOff>
        </xdr:from>
        <xdr:to>
          <xdr:col>2</xdr:col>
          <xdr:colOff>1209675</xdr:colOff>
          <xdr:row>19</xdr:row>
          <xdr:rowOff>238125</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28</xdr:row>
          <xdr:rowOff>47625</xdr:rowOff>
        </xdr:from>
        <xdr:to>
          <xdr:col>4</xdr:col>
          <xdr:colOff>342900</xdr:colOff>
          <xdr:row>28</xdr:row>
          <xdr:rowOff>247650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29</xdr:row>
          <xdr:rowOff>47625</xdr:rowOff>
        </xdr:from>
        <xdr:to>
          <xdr:col>4</xdr:col>
          <xdr:colOff>342900</xdr:colOff>
          <xdr:row>29</xdr:row>
          <xdr:rowOff>247650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30</xdr:row>
          <xdr:rowOff>57150</xdr:rowOff>
        </xdr:from>
        <xdr:to>
          <xdr:col>2</xdr:col>
          <xdr:colOff>790575</xdr:colOff>
          <xdr:row>30</xdr:row>
          <xdr:rowOff>285750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30</xdr:row>
          <xdr:rowOff>57150</xdr:rowOff>
        </xdr:from>
        <xdr:to>
          <xdr:col>4</xdr:col>
          <xdr:colOff>352425</xdr:colOff>
          <xdr:row>30</xdr:row>
          <xdr:rowOff>257175</xdr:rowOff>
        </xdr:to>
        <xdr:sp macro="" textlink="">
          <xdr:nvSpPr>
            <xdr:cNvPr id="1088" name="Drop Down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31</xdr:row>
          <xdr:rowOff>47625</xdr:rowOff>
        </xdr:from>
        <xdr:to>
          <xdr:col>2</xdr:col>
          <xdr:colOff>676275</xdr:colOff>
          <xdr:row>31</xdr:row>
          <xdr:rowOff>228600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31</xdr:row>
          <xdr:rowOff>57150</xdr:rowOff>
        </xdr:from>
        <xdr:to>
          <xdr:col>4</xdr:col>
          <xdr:colOff>352425</xdr:colOff>
          <xdr:row>31</xdr:row>
          <xdr:rowOff>257175</xdr:rowOff>
        </xdr:to>
        <xdr:sp macro="" textlink="">
          <xdr:nvSpPr>
            <xdr:cNvPr id="1093" name="Drop Down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xdr:row>
          <xdr:rowOff>0</xdr:rowOff>
        </xdr:from>
        <xdr:to>
          <xdr:col>10</xdr:col>
          <xdr:colOff>0</xdr:colOff>
          <xdr:row>5</xdr:row>
          <xdr:rowOff>0</xdr:rowOff>
        </xdr:to>
        <xdr:sp macro="" textlink="">
          <xdr:nvSpPr>
            <xdr:cNvPr id="1096" name="Group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4</xdr:row>
          <xdr:rowOff>28575</xdr:rowOff>
        </xdr:from>
        <xdr:to>
          <xdr:col>7</xdr:col>
          <xdr:colOff>866775</xdr:colOff>
          <xdr:row>4</xdr:row>
          <xdr:rowOff>209550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4</xdr:row>
          <xdr:rowOff>38100</xdr:rowOff>
        </xdr:from>
        <xdr:to>
          <xdr:col>9</xdr:col>
          <xdr:colOff>695325</xdr:colOff>
          <xdr:row>4</xdr:row>
          <xdr:rowOff>209550</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22</xdr:row>
          <xdr:rowOff>0</xdr:rowOff>
        </xdr:from>
        <xdr:to>
          <xdr:col>3</xdr:col>
          <xdr:colOff>0</xdr:colOff>
          <xdr:row>24</xdr:row>
          <xdr:rowOff>9525</xdr:rowOff>
        </xdr:to>
        <xdr:sp macro="" textlink="">
          <xdr:nvSpPr>
            <xdr:cNvPr id="1100" name="Group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23</xdr:row>
          <xdr:rowOff>38100</xdr:rowOff>
        </xdr:from>
        <xdr:to>
          <xdr:col>1</xdr:col>
          <xdr:colOff>1371600</xdr:colOff>
          <xdr:row>23</xdr:row>
          <xdr:rowOff>228600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23</xdr:row>
          <xdr:rowOff>47625</xdr:rowOff>
        </xdr:from>
        <xdr:to>
          <xdr:col>2</xdr:col>
          <xdr:colOff>942975</xdr:colOff>
          <xdr:row>23</xdr:row>
          <xdr:rowOff>209550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35</xdr:row>
          <xdr:rowOff>85725</xdr:rowOff>
        </xdr:from>
        <xdr:to>
          <xdr:col>2</xdr:col>
          <xdr:colOff>647700</xdr:colOff>
          <xdr:row>35</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38</xdr:row>
          <xdr:rowOff>85725</xdr:rowOff>
        </xdr:from>
        <xdr:to>
          <xdr:col>1</xdr:col>
          <xdr:colOff>1143000</xdr:colOff>
          <xdr:row>38</xdr:row>
          <xdr:rowOff>304800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5</xdr:col>
          <xdr:colOff>0</xdr:colOff>
          <xdr:row>23</xdr:row>
          <xdr:rowOff>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22</xdr:row>
          <xdr:rowOff>47625</xdr:rowOff>
        </xdr:from>
        <xdr:to>
          <xdr:col>3</xdr:col>
          <xdr:colOff>933450</xdr:colOff>
          <xdr:row>22</xdr:row>
          <xdr:rowOff>190500</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38100</xdr:rowOff>
        </xdr:from>
        <xdr:to>
          <xdr:col>4</xdr:col>
          <xdr:colOff>904875</xdr:colOff>
          <xdr:row>23</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5</xdr:col>
          <xdr:colOff>0</xdr:colOff>
          <xdr:row>25</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24</xdr:row>
          <xdr:rowOff>19050</xdr:rowOff>
        </xdr:from>
        <xdr:to>
          <xdr:col>4</xdr:col>
          <xdr:colOff>0</xdr:colOff>
          <xdr:row>25</xdr:row>
          <xdr:rowOff>0</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19050</xdr:rowOff>
        </xdr:from>
        <xdr:to>
          <xdr:col>4</xdr:col>
          <xdr:colOff>914400</xdr:colOff>
          <xdr:row>25</xdr:row>
          <xdr:rowOff>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9525</xdr:rowOff>
        </xdr:from>
        <xdr:to>
          <xdr:col>5</xdr:col>
          <xdr:colOff>0</xdr:colOff>
          <xdr:row>68</xdr:row>
          <xdr:rowOff>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67</xdr:row>
          <xdr:rowOff>38100</xdr:rowOff>
        </xdr:from>
        <xdr:to>
          <xdr:col>3</xdr:col>
          <xdr:colOff>914400</xdr:colOff>
          <xdr:row>68</xdr:row>
          <xdr:rowOff>0</xdr:rowOff>
        </xdr:to>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67</xdr:row>
          <xdr:rowOff>38100</xdr:rowOff>
        </xdr:from>
        <xdr:to>
          <xdr:col>4</xdr:col>
          <xdr:colOff>895350</xdr:colOff>
          <xdr:row>68</xdr:row>
          <xdr:rowOff>0</xdr:rowOff>
        </xdr:to>
        <xdr:sp macro="" textlink="">
          <xdr:nvSpPr>
            <xdr:cNvPr id="3083" name="Option 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xdr:row>
          <xdr:rowOff>0</xdr:rowOff>
        </xdr:from>
        <xdr:to>
          <xdr:col>5</xdr:col>
          <xdr:colOff>0</xdr:colOff>
          <xdr:row>9</xdr:row>
          <xdr:rowOff>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8</xdr:row>
          <xdr:rowOff>38100</xdr:rowOff>
        </xdr:from>
        <xdr:to>
          <xdr:col>3</xdr:col>
          <xdr:colOff>895350</xdr:colOff>
          <xdr:row>9</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8</xdr:row>
          <xdr:rowOff>38100</xdr:rowOff>
        </xdr:from>
        <xdr:to>
          <xdr:col>4</xdr:col>
          <xdr:colOff>876300</xdr:colOff>
          <xdr:row>9</xdr:row>
          <xdr:rowOff>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xdr:rowOff>
        </xdr:from>
        <xdr:to>
          <xdr:col>5</xdr:col>
          <xdr:colOff>0</xdr:colOff>
          <xdr:row>9</xdr:row>
          <xdr:rowOff>238125</xdr:rowOff>
        </xdr:to>
        <xdr:sp macro="" textlink="">
          <xdr:nvSpPr>
            <xdr:cNvPr id="3092" name="Group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9</xdr:row>
          <xdr:rowOff>57150</xdr:rowOff>
        </xdr:from>
        <xdr:to>
          <xdr:col>3</xdr:col>
          <xdr:colOff>933450</xdr:colOff>
          <xdr:row>9</xdr:row>
          <xdr:rowOff>209550</xdr:rowOff>
        </xdr:to>
        <xdr:sp macro="" textlink="">
          <xdr:nvSpPr>
            <xdr:cNvPr id="3093" name="Option 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9</xdr:row>
          <xdr:rowOff>38100</xdr:rowOff>
        </xdr:from>
        <xdr:to>
          <xdr:col>4</xdr:col>
          <xdr:colOff>914400</xdr:colOff>
          <xdr:row>9</xdr:row>
          <xdr:rowOff>200025</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11</xdr:row>
          <xdr:rowOff>9525</xdr:rowOff>
        </xdr:from>
        <xdr:to>
          <xdr:col>5</xdr:col>
          <xdr:colOff>0</xdr:colOff>
          <xdr:row>12</xdr:row>
          <xdr:rowOff>0</xdr:rowOff>
        </xdr:to>
        <xdr:sp macro="" textlink="">
          <xdr:nvSpPr>
            <xdr:cNvPr id="3095" name="Group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11</xdr:row>
          <xdr:rowOff>47625</xdr:rowOff>
        </xdr:from>
        <xdr:to>
          <xdr:col>3</xdr:col>
          <xdr:colOff>914400</xdr:colOff>
          <xdr:row>12</xdr:row>
          <xdr:rowOff>0</xdr:rowOff>
        </xdr:to>
        <xdr:sp macro="" textlink="">
          <xdr:nvSpPr>
            <xdr:cNvPr id="3096" name="Option Butto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xdr:row>
          <xdr:rowOff>57150</xdr:rowOff>
        </xdr:from>
        <xdr:to>
          <xdr:col>4</xdr:col>
          <xdr:colOff>895350</xdr:colOff>
          <xdr:row>12</xdr:row>
          <xdr:rowOff>0</xdr:rowOff>
        </xdr:to>
        <xdr:sp macro="" textlink="">
          <xdr:nvSpPr>
            <xdr:cNvPr id="3097" name="Option 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xdr:rowOff>
        </xdr:from>
        <xdr:to>
          <xdr:col>5</xdr:col>
          <xdr:colOff>0</xdr:colOff>
          <xdr:row>12</xdr:row>
          <xdr:rowOff>228600</xdr:rowOff>
        </xdr:to>
        <xdr:sp macro="" textlink="">
          <xdr:nvSpPr>
            <xdr:cNvPr id="3098" name="Group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12</xdr:row>
          <xdr:rowOff>38100</xdr:rowOff>
        </xdr:from>
        <xdr:to>
          <xdr:col>3</xdr:col>
          <xdr:colOff>933450</xdr:colOff>
          <xdr:row>12</xdr:row>
          <xdr:rowOff>190500</xdr:rowOff>
        </xdr:to>
        <xdr:sp macro="" textlink="">
          <xdr:nvSpPr>
            <xdr:cNvPr id="3099" name="Option 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12</xdr:row>
          <xdr:rowOff>38100</xdr:rowOff>
        </xdr:from>
        <xdr:to>
          <xdr:col>4</xdr:col>
          <xdr:colOff>885825</xdr:colOff>
          <xdr:row>12</xdr:row>
          <xdr:rowOff>200025</xdr:rowOff>
        </xdr:to>
        <xdr:sp macro="" textlink="">
          <xdr:nvSpPr>
            <xdr:cNvPr id="3100" name="Option Butto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5</xdr:col>
          <xdr:colOff>0</xdr:colOff>
          <xdr:row>15</xdr:row>
          <xdr:rowOff>0</xdr:rowOff>
        </xdr:to>
        <xdr:sp macro="" textlink="">
          <xdr:nvSpPr>
            <xdr:cNvPr id="3101" name="Group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14</xdr:row>
          <xdr:rowOff>38100</xdr:rowOff>
        </xdr:from>
        <xdr:to>
          <xdr:col>3</xdr:col>
          <xdr:colOff>942975</xdr:colOff>
          <xdr:row>15</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14</xdr:row>
          <xdr:rowOff>28575</xdr:rowOff>
        </xdr:from>
        <xdr:to>
          <xdr:col>4</xdr:col>
          <xdr:colOff>876300</xdr:colOff>
          <xdr:row>15</xdr:row>
          <xdr:rowOff>0</xdr:rowOff>
        </xdr:to>
        <xdr:sp macro="" textlink="">
          <xdr:nvSpPr>
            <xdr:cNvPr id="3103" name="Option Butto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5</xdr:col>
          <xdr:colOff>0</xdr:colOff>
          <xdr:row>15</xdr:row>
          <xdr:rowOff>238125</xdr:rowOff>
        </xdr:to>
        <xdr:sp macro="" textlink="">
          <xdr:nvSpPr>
            <xdr:cNvPr id="3104" name="Group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15</xdr:row>
          <xdr:rowOff>47625</xdr:rowOff>
        </xdr:from>
        <xdr:to>
          <xdr:col>3</xdr:col>
          <xdr:colOff>923925</xdr:colOff>
          <xdr:row>15</xdr:row>
          <xdr:rowOff>200025</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38100</xdr:rowOff>
        </xdr:from>
        <xdr:to>
          <xdr:col>4</xdr:col>
          <xdr:colOff>876300</xdr:colOff>
          <xdr:row>15</xdr:row>
          <xdr:rowOff>200025</xdr:rowOff>
        </xdr:to>
        <xdr:sp macro="" textlink="">
          <xdr:nvSpPr>
            <xdr:cNvPr id="3106" name="Option Butto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5</xdr:col>
          <xdr:colOff>0</xdr:colOff>
          <xdr:row>27</xdr:row>
          <xdr:rowOff>0</xdr:rowOff>
        </xdr:to>
        <xdr:sp macro="" textlink="">
          <xdr:nvSpPr>
            <xdr:cNvPr id="3107" name="Group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57150</xdr:rowOff>
        </xdr:from>
        <xdr:to>
          <xdr:col>3</xdr:col>
          <xdr:colOff>933450</xdr:colOff>
          <xdr:row>27</xdr:row>
          <xdr:rowOff>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26</xdr:row>
          <xdr:rowOff>57150</xdr:rowOff>
        </xdr:from>
        <xdr:to>
          <xdr:col>4</xdr:col>
          <xdr:colOff>876300</xdr:colOff>
          <xdr:row>27</xdr:row>
          <xdr:rowOff>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19050</xdr:rowOff>
        </xdr:from>
        <xdr:to>
          <xdr:col>5</xdr:col>
          <xdr:colOff>0</xdr:colOff>
          <xdr:row>28</xdr:row>
          <xdr:rowOff>371475</xdr:rowOff>
        </xdr:to>
        <xdr:sp macro="" textlink="">
          <xdr:nvSpPr>
            <xdr:cNvPr id="3110" name="Group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28</xdr:row>
          <xdr:rowOff>104775</xdr:rowOff>
        </xdr:from>
        <xdr:to>
          <xdr:col>3</xdr:col>
          <xdr:colOff>914400</xdr:colOff>
          <xdr:row>29</xdr:row>
          <xdr:rowOff>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104775</xdr:rowOff>
        </xdr:from>
        <xdr:to>
          <xdr:col>4</xdr:col>
          <xdr:colOff>885825</xdr:colOff>
          <xdr:row>29</xdr:row>
          <xdr:rowOff>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9525</xdr:rowOff>
        </xdr:from>
        <xdr:to>
          <xdr:col>5</xdr:col>
          <xdr:colOff>0</xdr:colOff>
          <xdr:row>31</xdr:row>
          <xdr:rowOff>0</xdr:rowOff>
        </xdr:to>
        <xdr:sp macro="" textlink="">
          <xdr:nvSpPr>
            <xdr:cNvPr id="3113" name="Group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30</xdr:row>
          <xdr:rowOff>114300</xdr:rowOff>
        </xdr:from>
        <xdr:to>
          <xdr:col>3</xdr:col>
          <xdr:colOff>933450</xdr:colOff>
          <xdr:row>31</xdr:row>
          <xdr:rowOff>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30</xdr:row>
          <xdr:rowOff>114300</xdr:rowOff>
        </xdr:from>
        <xdr:to>
          <xdr:col>4</xdr:col>
          <xdr:colOff>885825</xdr:colOff>
          <xdr:row>31</xdr:row>
          <xdr:rowOff>0</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5</xdr:col>
          <xdr:colOff>0</xdr:colOff>
          <xdr:row>33</xdr:row>
          <xdr:rowOff>9525</xdr:rowOff>
        </xdr:to>
        <xdr:sp macro="" textlink="">
          <xdr:nvSpPr>
            <xdr:cNvPr id="3116" name="Group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32</xdr:row>
          <xdr:rowOff>47625</xdr:rowOff>
        </xdr:from>
        <xdr:to>
          <xdr:col>3</xdr:col>
          <xdr:colOff>914400</xdr:colOff>
          <xdr:row>33</xdr:row>
          <xdr:rowOff>0</xdr:rowOff>
        </xdr:to>
        <xdr:sp macro="" textlink="">
          <xdr:nvSpPr>
            <xdr:cNvPr id="3117" name="Option Button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32</xdr:row>
          <xdr:rowOff>47625</xdr:rowOff>
        </xdr:from>
        <xdr:to>
          <xdr:col>4</xdr:col>
          <xdr:colOff>885825</xdr:colOff>
          <xdr:row>33</xdr:row>
          <xdr:rowOff>0</xdr:rowOff>
        </xdr:to>
        <xdr:sp macro="" textlink="">
          <xdr:nvSpPr>
            <xdr:cNvPr id="3118" name="Option Button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9525</xdr:rowOff>
        </xdr:from>
        <xdr:to>
          <xdr:col>5</xdr:col>
          <xdr:colOff>0</xdr:colOff>
          <xdr:row>35</xdr:row>
          <xdr:rowOff>0</xdr:rowOff>
        </xdr:to>
        <xdr:sp macro="" textlink="">
          <xdr:nvSpPr>
            <xdr:cNvPr id="3119" name="Group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34</xdr:row>
          <xdr:rowOff>28575</xdr:rowOff>
        </xdr:from>
        <xdr:to>
          <xdr:col>3</xdr:col>
          <xdr:colOff>952500</xdr:colOff>
          <xdr:row>35</xdr:row>
          <xdr:rowOff>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34</xdr:row>
          <xdr:rowOff>28575</xdr:rowOff>
        </xdr:from>
        <xdr:to>
          <xdr:col>4</xdr:col>
          <xdr:colOff>914400</xdr:colOff>
          <xdr:row>35</xdr:row>
          <xdr:rowOff>0</xdr:rowOff>
        </xdr:to>
        <xdr:sp macro="" textlink="">
          <xdr:nvSpPr>
            <xdr:cNvPr id="3121" name="Option Button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9525</xdr:rowOff>
        </xdr:from>
        <xdr:to>
          <xdr:col>5</xdr:col>
          <xdr:colOff>0</xdr:colOff>
          <xdr:row>50</xdr:row>
          <xdr:rowOff>0</xdr:rowOff>
        </xdr:to>
        <xdr:sp macro="" textlink="">
          <xdr:nvSpPr>
            <xdr:cNvPr id="3125" name="Group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49</xdr:row>
          <xdr:rowOff>28575</xdr:rowOff>
        </xdr:from>
        <xdr:to>
          <xdr:col>3</xdr:col>
          <xdr:colOff>914400</xdr:colOff>
          <xdr:row>49</xdr:row>
          <xdr:rowOff>200025</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49</xdr:row>
          <xdr:rowOff>38100</xdr:rowOff>
        </xdr:from>
        <xdr:to>
          <xdr:col>4</xdr:col>
          <xdr:colOff>895350</xdr:colOff>
          <xdr:row>49</xdr:row>
          <xdr:rowOff>200025</xdr:rowOff>
        </xdr:to>
        <xdr:sp macro="" textlink="">
          <xdr:nvSpPr>
            <xdr:cNvPr id="3127" name="Option Button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9525</xdr:rowOff>
        </xdr:from>
        <xdr:to>
          <xdr:col>5</xdr:col>
          <xdr:colOff>0</xdr:colOff>
          <xdr:row>53</xdr:row>
          <xdr:rowOff>304800</xdr:rowOff>
        </xdr:to>
        <xdr:sp macro="" textlink="">
          <xdr:nvSpPr>
            <xdr:cNvPr id="3128" name="Group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52</xdr:row>
          <xdr:rowOff>28575</xdr:rowOff>
        </xdr:from>
        <xdr:to>
          <xdr:col>3</xdr:col>
          <xdr:colOff>904875</xdr:colOff>
          <xdr:row>52</xdr:row>
          <xdr:rowOff>295275</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52</xdr:row>
          <xdr:rowOff>38100</xdr:rowOff>
        </xdr:from>
        <xdr:to>
          <xdr:col>4</xdr:col>
          <xdr:colOff>923925</xdr:colOff>
          <xdr:row>52</xdr:row>
          <xdr:rowOff>295275</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52</xdr:row>
          <xdr:rowOff>47625</xdr:rowOff>
        </xdr:from>
        <xdr:to>
          <xdr:col>4</xdr:col>
          <xdr:colOff>695325</xdr:colOff>
          <xdr:row>52</xdr:row>
          <xdr:rowOff>266700</xdr:rowOff>
        </xdr:to>
        <xdr:sp macro="" textlink="">
          <xdr:nvSpPr>
            <xdr:cNvPr id="3131" name="Drop Dow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9525</xdr:rowOff>
        </xdr:from>
        <xdr:to>
          <xdr:col>5</xdr:col>
          <xdr:colOff>0</xdr:colOff>
          <xdr:row>54</xdr:row>
          <xdr:rowOff>304800</xdr:rowOff>
        </xdr:to>
        <xdr:sp macro="" textlink="">
          <xdr:nvSpPr>
            <xdr:cNvPr id="3140" name="Group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54</xdr:row>
          <xdr:rowOff>38100</xdr:rowOff>
        </xdr:from>
        <xdr:to>
          <xdr:col>3</xdr:col>
          <xdr:colOff>904875</xdr:colOff>
          <xdr:row>54</xdr:row>
          <xdr:rowOff>247650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54</xdr:row>
          <xdr:rowOff>47625</xdr:rowOff>
        </xdr:from>
        <xdr:to>
          <xdr:col>4</xdr:col>
          <xdr:colOff>942975</xdr:colOff>
          <xdr:row>54</xdr:row>
          <xdr:rowOff>228600</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47625</xdr:rowOff>
        </xdr:from>
        <xdr:to>
          <xdr:col>4</xdr:col>
          <xdr:colOff>704850</xdr:colOff>
          <xdr:row>54</xdr:row>
          <xdr:rowOff>247650</xdr:rowOff>
        </xdr:to>
        <xdr:sp macro="" textlink="">
          <xdr:nvSpPr>
            <xdr:cNvPr id="3143" name="Drop Down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9525</xdr:rowOff>
        </xdr:from>
        <xdr:to>
          <xdr:col>5</xdr:col>
          <xdr:colOff>0</xdr:colOff>
          <xdr:row>55</xdr:row>
          <xdr:rowOff>304800</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55</xdr:row>
          <xdr:rowOff>28575</xdr:rowOff>
        </xdr:from>
        <xdr:to>
          <xdr:col>3</xdr:col>
          <xdr:colOff>914400</xdr:colOff>
          <xdr:row>55</xdr:row>
          <xdr:rowOff>228600</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55</xdr:row>
          <xdr:rowOff>38100</xdr:rowOff>
        </xdr:from>
        <xdr:to>
          <xdr:col>4</xdr:col>
          <xdr:colOff>914400</xdr:colOff>
          <xdr:row>55</xdr:row>
          <xdr:rowOff>247650</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47625</xdr:rowOff>
        </xdr:from>
        <xdr:to>
          <xdr:col>4</xdr:col>
          <xdr:colOff>704850</xdr:colOff>
          <xdr:row>55</xdr:row>
          <xdr:rowOff>247650</xdr:rowOff>
        </xdr:to>
        <xdr:sp macro="" textlink="">
          <xdr:nvSpPr>
            <xdr:cNvPr id="3147" name="Drop Down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9525</xdr:rowOff>
        </xdr:from>
        <xdr:to>
          <xdr:col>4</xdr:col>
          <xdr:colOff>952500</xdr:colOff>
          <xdr:row>57</xdr:row>
          <xdr:rowOff>0</xdr:rowOff>
        </xdr:to>
        <xdr:sp macro="" textlink="">
          <xdr:nvSpPr>
            <xdr:cNvPr id="3148" name="Group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56</xdr:row>
          <xdr:rowOff>95250</xdr:rowOff>
        </xdr:from>
        <xdr:to>
          <xdr:col>3</xdr:col>
          <xdr:colOff>942975</xdr:colOff>
          <xdr:row>56</xdr:row>
          <xdr:rowOff>209550</xdr:rowOff>
        </xdr:to>
        <xdr:sp macro="" textlink="">
          <xdr:nvSpPr>
            <xdr:cNvPr id="3149" name="Option Button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56</xdr:row>
          <xdr:rowOff>95250</xdr:rowOff>
        </xdr:from>
        <xdr:to>
          <xdr:col>4</xdr:col>
          <xdr:colOff>914400</xdr:colOff>
          <xdr:row>56</xdr:row>
          <xdr:rowOff>209550</xdr:rowOff>
        </xdr:to>
        <xdr:sp macro="" textlink="">
          <xdr:nvSpPr>
            <xdr:cNvPr id="3150" name="Option Button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57150</xdr:rowOff>
        </xdr:from>
        <xdr:to>
          <xdr:col>4</xdr:col>
          <xdr:colOff>704850</xdr:colOff>
          <xdr:row>56</xdr:row>
          <xdr:rowOff>266700</xdr:rowOff>
        </xdr:to>
        <xdr:sp macro="" textlink="">
          <xdr:nvSpPr>
            <xdr:cNvPr id="3151" name="Drop Down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9525</xdr:rowOff>
        </xdr:from>
        <xdr:to>
          <xdr:col>5</xdr:col>
          <xdr:colOff>0</xdr:colOff>
          <xdr:row>70</xdr:row>
          <xdr:rowOff>0</xdr:rowOff>
        </xdr:to>
        <xdr:sp macro="" textlink="">
          <xdr:nvSpPr>
            <xdr:cNvPr id="3155" name="Group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69</xdr:row>
          <xdr:rowOff>28575</xdr:rowOff>
        </xdr:from>
        <xdr:to>
          <xdr:col>3</xdr:col>
          <xdr:colOff>895350</xdr:colOff>
          <xdr:row>69</xdr:row>
          <xdr:rowOff>228600</xdr:rowOff>
        </xdr:to>
        <xdr:sp macro="" textlink="">
          <xdr:nvSpPr>
            <xdr:cNvPr id="3156" name="Option Button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69</xdr:row>
          <xdr:rowOff>28575</xdr:rowOff>
        </xdr:from>
        <xdr:to>
          <xdr:col>4</xdr:col>
          <xdr:colOff>914400</xdr:colOff>
          <xdr:row>69</xdr:row>
          <xdr:rowOff>219075</xdr:rowOff>
        </xdr:to>
        <xdr:sp macro="" textlink="">
          <xdr:nvSpPr>
            <xdr:cNvPr id="3157" name="Option Butto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71</xdr:row>
          <xdr:rowOff>9525</xdr:rowOff>
        </xdr:from>
        <xdr:to>
          <xdr:col>5</xdr:col>
          <xdr:colOff>0</xdr:colOff>
          <xdr:row>73</xdr:row>
          <xdr:rowOff>0</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71</xdr:row>
          <xdr:rowOff>28575</xdr:rowOff>
        </xdr:from>
        <xdr:to>
          <xdr:col>3</xdr:col>
          <xdr:colOff>590550</xdr:colOff>
          <xdr:row>71</xdr:row>
          <xdr:rowOff>190500</xdr:rowOff>
        </xdr:to>
        <xdr:sp macro="" textlink="">
          <xdr:nvSpPr>
            <xdr:cNvPr id="3160" name="Option Button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87</xdr:row>
          <xdr:rowOff>9525</xdr:rowOff>
        </xdr:from>
        <xdr:to>
          <xdr:col>5</xdr:col>
          <xdr:colOff>0</xdr:colOff>
          <xdr:row>88</xdr:row>
          <xdr:rowOff>9525</xdr:rowOff>
        </xdr:to>
        <xdr:sp macro="" textlink="">
          <xdr:nvSpPr>
            <xdr:cNvPr id="3161" name="Group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87</xdr:row>
          <xdr:rowOff>19050</xdr:rowOff>
        </xdr:from>
        <xdr:to>
          <xdr:col>3</xdr:col>
          <xdr:colOff>609600</xdr:colOff>
          <xdr:row>87</xdr:row>
          <xdr:rowOff>180975</xdr:rowOff>
        </xdr:to>
        <xdr:sp macro="" textlink="">
          <xdr:nvSpPr>
            <xdr:cNvPr id="3162" name="Option Button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87</xdr:row>
          <xdr:rowOff>19050</xdr:rowOff>
        </xdr:from>
        <xdr:to>
          <xdr:col>4</xdr:col>
          <xdr:colOff>581025</xdr:colOff>
          <xdr:row>87</xdr:row>
          <xdr:rowOff>190500</xdr:rowOff>
        </xdr:to>
        <xdr:sp macro="" textlink="">
          <xdr:nvSpPr>
            <xdr:cNvPr id="3163" name="Option Button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5</xdr:col>
          <xdr:colOff>9525</xdr:colOff>
          <xdr:row>18</xdr:row>
          <xdr:rowOff>0</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17</xdr:row>
          <xdr:rowOff>38100</xdr:rowOff>
        </xdr:from>
        <xdr:to>
          <xdr:col>3</xdr:col>
          <xdr:colOff>933450</xdr:colOff>
          <xdr:row>18</xdr:row>
          <xdr:rowOff>0</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17</xdr:row>
          <xdr:rowOff>38100</xdr:rowOff>
        </xdr:from>
        <xdr:to>
          <xdr:col>4</xdr:col>
          <xdr:colOff>885825</xdr:colOff>
          <xdr:row>18</xdr:row>
          <xdr:rowOff>0</xdr:rowOff>
        </xdr:to>
        <xdr:sp macro="" textlink="">
          <xdr:nvSpPr>
            <xdr:cNvPr id="3166" name="Option Button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9525</xdr:rowOff>
        </xdr:from>
        <xdr:to>
          <xdr:col>4</xdr:col>
          <xdr:colOff>952500</xdr:colOff>
          <xdr:row>41</xdr:row>
          <xdr:rowOff>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40</xdr:row>
          <xdr:rowOff>76200</xdr:rowOff>
        </xdr:from>
        <xdr:to>
          <xdr:col>3</xdr:col>
          <xdr:colOff>962025</xdr:colOff>
          <xdr:row>41</xdr:row>
          <xdr:rowOff>0</xdr:rowOff>
        </xdr:to>
        <xdr:sp macro="" textlink="">
          <xdr:nvSpPr>
            <xdr:cNvPr id="3171" name="Option Button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40</xdr:row>
          <xdr:rowOff>114300</xdr:rowOff>
        </xdr:from>
        <xdr:to>
          <xdr:col>4</xdr:col>
          <xdr:colOff>895350</xdr:colOff>
          <xdr:row>41</xdr:row>
          <xdr:rowOff>0</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9525</xdr:rowOff>
        </xdr:from>
        <xdr:to>
          <xdr:col>4</xdr:col>
          <xdr:colOff>952500</xdr:colOff>
          <xdr:row>43</xdr:row>
          <xdr:rowOff>0</xdr:rowOff>
        </xdr:to>
        <xdr:sp macro="" textlink="">
          <xdr:nvSpPr>
            <xdr:cNvPr id="3173" name="Group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42</xdr:row>
          <xdr:rowOff>47625</xdr:rowOff>
        </xdr:from>
        <xdr:to>
          <xdr:col>3</xdr:col>
          <xdr:colOff>914400</xdr:colOff>
          <xdr:row>43</xdr:row>
          <xdr:rowOff>0</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42</xdr:row>
          <xdr:rowOff>38100</xdr:rowOff>
        </xdr:from>
        <xdr:to>
          <xdr:col>4</xdr:col>
          <xdr:colOff>895350</xdr:colOff>
          <xdr:row>43</xdr:row>
          <xdr:rowOff>0</xdr:rowOff>
        </xdr:to>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9525</xdr:rowOff>
        </xdr:from>
        <xdr:to>
          <xdr:col>5</xdr:col>
          <xdr:colOff>0</xdr:colOff>
          <xdr:row>37</xdr:row>
          <xdr:rowOff>0</xdr:rowOff>
        </xdr:to>
        <xdr:sp macro="" textlink="">
          <xdr:nvSpPr>
            <xdr:cNvPr id="3176" name="Group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36</xdr:row>
          <xdr:rowOff>76200</xdr:rowOff>
        </xdr:from>
        <xdr:to>
          <xdr:col>3</xdr:col>
          <xdr:colOff>942975</xdr:colOff>
          <xdr:row>37</xdr:row>
          <xdr:rowOff>0</xdr:rowOff>
        </xdr:to>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36</xdr:row>
          <xdr:rowOff>76200</xdr:rowOff>
        </xdr:from>
        <xdr:to>
          <xdr:col>4</xdr:col>
          <xdr:colOff>895350</xdr:colOff>
          <xdr:row>37</xdr:row>
          <xdr:rowOff>0</xdr:rowOff>
        </xdr:to>
        <xdr:sp macro="" textlink="">
          <xdr:nvSpPr>
            <xdr:cNvPr id="3178" name="Option Button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9525</xdr:rowOff>
        </xdr:from>
        <xdr:to>
          <xdr:col>5</xdr:col>
          <xdr:colOff>0</xdr:colOff>
          <xdr:row>39</xdr:row>
          <xdr:rowOff>0</xdr:rowOff>
        </xdr:to>
        <xdr:sp macro="" textlink="">
          <xdr:nvSpPr>
            <xdr:cNvPr id="3179" name="Group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38</xdr:row>
          <xdr:rowOff>104775</xdr:rowOff>
        </xdr:from>
        <xdr:to>
          <xdr:col>3</xdr:col>
          <xdr:colOff>914400</xdr:colOff>
          <xdr:row>39</xdr:row>
          <xdr:rowOff>0</xdr:rowOff>
        </xdr:to>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38</xdr:row>
          <xdr:rowOff>95250</xdr:rowOff>
        </xdr:from>
        <xdr:to>
          <xdr:col>4</xdr:col>
          <xdr:colOff>895350</xdr:colOff>
          <xdr:row>39</xdr:row>
          <xdr:rowOff>0</xdr:rowOff>
        </xdr:to>
        <xdr:sp macro="" textlink="">
          <xdr:nvSpPr>
            <xdr:cNvPr id="3181" name="Option Button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71</xdr:row>
          <xdr:rowOff>38100</xdr:rowOff>
        </xdr:from>
        <xdr:to>
          <xdr:col>4</xdr:col>
          <xdr:colOff>561975</xdr:colOff>
          <xdr:row>71</xdr:row>
          <xdr:rowOff>180975</xdr:rowOff>
        </xdr:to>
        <xdr:sp macro="" textlink="">
          <xdr:nvSpPr>
            <xdr:cNvPr id="3183" name="Option 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xdr:row>
          <xdr:rowOff>0</xdr:rowOff>
        </xdr:from>
        <xdr:to>
          <xdr:col>5</xdr:col>
          <xdr:colOff>0</xdr:colOff>
          <xdr:row>4</xdr:row>
          <xdr:rowOff>238125</xdr:rowOff>
        </xdr:to>
        <xdr:sp macro="" textlink="">
          <xdr:nvSpPr>
            <xdr:cNvPr id="3185" name="Group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xdr:row>
          <xdr:rowOff>28575</xdr:rowOff>
        </xdr:from>
        <xdr:to>
          <xdr:col>3</xdr:col>
          <xdr:colOff>942975</xdr:colOff>
          <xdr:row>4</xdr:row>
          <xdr:rowOff>209550</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xdr:row>
          <xdr:rowOff>19050</xdr:rowOff>
        </xdr:from>
        <xdr:to>
          <xdr:col>4</xdr:col>
          <xdr:colOff>895350</xdr:colOff>
          <xdr:row>4</xdr:row>
          <xdr:rowOff>228600</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5</xdr:col>
          <xdr:colOff>0</xdr:colOff>
          <xdr:row>6</xdr:row>
          <xdr:rowOff>0</xdr:rowOff>
        </xdr:to>
        <xdr:sp macro="" textlink="">
          <xdr:nvSpPr>
            <xdr:cNvPr id="3188" name="Group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5</xdr:row>
          <xdr:rowOff>28575</xdr:rowOff>
        </xdr:from>
        <xdr:to>
          <xdr:col>3</xdr:col>
          <xdr:colOff>942975</xdr:colOff>
          <xdr:row>5</xdr:row>
          <xdr:rowOff>219075</xdr:rowOff>
        </xdr:to>
        <xdr:sp macro="" textlink="">
          <xdr:nvSpPr>
            <xdr:cNvPr id="3189" name="Option 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xdr:row>
          <xdr:rowOff>19050</xdr:rowOff>
        </xdr:from>
        <xdr:to>
          <xdr:col>4</xdr:col>
          <xdr:colOff>923925</xdr:colOff>
          <xdr:row>5</xdr:row>
          <xdr:rowOff>228600</xdr:rowOff>
        </xdr:to>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19050</xdr:rowOff>
        </xdr:from>
        <xdr:to>
          <xdr:col>5</xdr:col>
          <xdr:colOff>0</xdr:colOff>
          <xdr:row>6</xdr:row>
          <xdr:rowOff>247650</xdr:rowOff>
        </xdr:to>
        <xdr:sp macro="" textlink="">
          <xdr:nvSpPr>
            <xdr:cNvPr id="3191" name="Group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xdr:row>
          <xdr:rowOff>28575</xdr:rowOff>
        </xdr:from>
        <xdr:to>
          <xdr:col>3</xdr:col>
          <xdr:colOff>952500</xdr:colOff>
          <xdr:row>6</xdr:row>
          <xdr:rowOff>219075</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xdr:row>
          <xdr:rowOff>38100</xdr:rowOff>
        </xdr:from>
        <xdr:to>
          <xdr:col>4</xdr:col>
          <xdr:colOff>914400</xdr:colOff>
          <xdr:row>6</xdr:row>
          <xdr:rowOff>209550</xdr:rowOff>
        </xdr:to>
        <xdr:sp macro="" textlink="">
          <xdr:nvSpPr>
            <xdr:cNvPr id="3194" name="Option Button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44</xdr:row>
          <xdr:rowOff>9525</xdr:rowOff>
        </xdr:from>
        <xdr:to>
          <xdr:col>5</xdr:col>
          <xdr:colOff>0</xdr:colOff>
          <xdr:row>45</xdr:row>
          <xdr:rowOff>0</xdr:rowOff>
        </xdr:to>
        <xdr:sp macro="" textlink="">
          <xdr:nvSpPr>
            <xdr:cNvPr id="3195" name="Group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45</xdr:row>
          <xdr:rowOff>9525</xdr:rowOff>
        </xdr:from>
        <xdr:to>
          <xdr:col>5</xdr:col>
          <xdr:colOff>0</xdr:colOff>
          <xdr:row>46</xdr:row>
          <xdr:rowOff>0</xdr:rowOff>
        </xdr:to>
        <xdr:sp macro="" textlink="">
          <xdr:nvSpPr>
            <xdr:cNvPr id="3196" name="Group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44</xdr:row>
          <xdr:rowOff>28575</xdr:rowOff>
        </xdr:from>
        <xdr:to>
          <xdr:col>3</xdr:col>
          <xdr:colOff>962025</xdr:colOff>
          <xdr:row>44</xdr:row>
          <xdr:rowOff>219075</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44</xdr:row>
          <xdr:rowOff>28575</xdr:rowOff>
        </xdr:from>
        <xdr:to>
          <xdr:col>4</xdr:col>
          <xdr:colOff>904875</xdr:colOff>
          <xdr:row>44</xdr:row>
          <xdr:rowOff>219075</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45</xdr:row>
          <xdr:rowOff>28575</xdr:rowOff>
        </xdr:from>
        <xdr:to>
          <xdr:col>3</xdr:col>
          <xdr:colOff>952500</xdr:colOff>
          <xdr:row>45</xdr:row>
          <xdr:rowOff>209550</xdr:rowOff>
        </xdr:to>
        <xdr:sp macro="" textlink="">
          <xdr:nvSpPr>
            <xdr:cNvPr id="3199" name="Option Button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45</xdr:row>
          <xdr:rowOff>19050</xdr:rowOff>
        </xdr:from>
        <xdr:to>
          <xdr:col>4</xdr:col>
          <xdr:colOff>923925</xdr:colOff>
          <xdr:row>45</xdr:row>
          <xdr:rowOff>209550</xdr:rowOff>
        </xdr:to>
        <xdr:sp macro="" textlink="">
          <xdr:nvSpPr>
            <xdr:cNvPr id="3200" name="Option Button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9525</xdr:rowOff>
        </xdr:from>
        <xdr:to>
          <xdr:col>4</xdr:col>
          <xdr:colOff>952500</xdr:colOff>
          <xdr:row>47</xdr:row>
          <xdr:rowOff>0</xdr:rowOff>
        </xdr:to>
        <xdr:sp macro="" textlink="">
          <xdr:nvSpPr>
            <xdr:cNvPr id="3201" name="Group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46</xdr:row>
          <xdr:rowOff>38100</xdr:rowOff>
        </xdr:from>
        <xdr:to>
          <xdr:col>3</xdr:col>
          <xdr:colOff>962025</xdr:colOff>
          <xdr:row>46</xdr:row>
          <xdr:rowOff>228600</xdr:rowOff>
        </xdr:to>
        <xdr:sp macro="" textlink="">
          <xdr:nvSpPr>
            <xdr:cNvPr id="3202" name="Option Button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46</xdr:row>
          <xdr:rowOff>38100</xdr:rowOff>
        </xdr:from>
        <xdr:to>
          <xdr:col>4</xdr:col>
          <xdr:colOff>933450</xdr:colOff>
          <xdr:row>46</xdr:row>
          <xdr:rowOff>219075</xdr:rowOff>
        </xdr:to>
        <xdr:sp macro="" textlink="">
          <xdr:nvSpPr>
            <xdr:cNvPr id="3203" name="Option Button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47</xdr:row>
          <xdr:rowOff>9525</xdr:rowOff>
        </xdr:from>
        <xdr:to>
          <xdr:col>5</xdr:col>
          <xdr:colOff>0</xdr:colOff>
          <xdr:row>48</xdr:row>
          <xdr:rowOff>0</xdr:rowOff>
        </xdr:to>
        <xdr:sp macro="" textlink="">
          <xdr:nvSpPr>
            <xdr:cNvPr id="3204" name="Group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47</xdr:row>
          <xdr:rowOff>28575</xdr:rowOff>
        </xdr:from>
        <xdr:to>
          <xdr:col>3</xdr:col>
          <xdr:colOff>962025</xdr:colOff>
          <xdr:row>47</xdr:row>
          <xdr:rowOff>228600</xdr:rowOff>
        </xdr:to>
        <xdr:sp macro="" textlink="">
          <xdr:nvSpPr>
            <xdr:cNvPr id="3205" name="Option 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47</xdr:row>
          <xdr:rowOff>38100</xdr:rowOff>
        </xdr:from>
        <xdr:to>
          <xdr:col>4</xdr:col>
          <xdr:colOff>923925</xdr:colOff>
          <xdr:row>47</xdr:row>
          <xdr:rowOff>228600</xdr:rowOff>
        </xdr:to>
        <xdr:sp macro="" textlink="">
          <xdr:nvSpPr>
            <xdr:cNvPr id="3206" name="Option Button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58</xdr:row>
          <xdr:rowOff>9525</xdr:rowOff>
        </xdr:from>
        <xdr:to>
          <xdr:col>5</xdr:col>
          <xdr:colOff>0</xdr:colOff>
          <xdr:row>59</xdr:row>
          <xdr:rowOff>0</xdr:rowOff>
        </xdr:to>
        <xdr:sp macro="" textlink="">
          <xdr:nvSpPr>
            <xdr:cNvPr id="3207" name="Group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58</xdr:row>
          <xdr:rowOff>28575</xdr:rowOff>
        </xdr:from>
        <xdr:to>
          <xdr:col>3</xdr:col>
          <xdr:colOff>933450</xdr:colOff>
          <xdr:row>58</xdr:row>
          <xdr:rowOff>238125</xdr:rowOff>
        </xdr:to>
        <xdr:sp macro="" textlink="">
          <xdr:nvSpPr>
            <xdr:cNvPr id="3208" name="Option Button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58</xdr:row>
          <xdr:rowOff>9525</xdr:rowOff>
        </xdr:from>
        <xdr:to>
          <xdr:col>4</xdr:col>
          <xdr:colOff>895350</xdr:colOff>
          <xdr:row>58</xdr:row>
          <xdr:rowOff>219075</xdr:rowOff>
        </xdr:to>
        <xdr:sp macro="" textlink="">
          <xdr:nvSpPr>
            <xdr:cNvPr id="3209" name="Option 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59</xdr:row>
          <xdr:rowOff>9525</xdr:rowOff>
        </xdr:from>
        <xdr:to>
          <xdr:col>5</xdr:col>
          <xdr:colOff>0</xdr:colOff>
          <xdr:row>60</xdr:row>
          <xdr:rowOff>0</xdr:rowOff>
        </xdr:to>
        <xdr:sp macro="" textlink="">
          <xdr:nvSpPr>
            <xdr:cNvPr id="3210" name="Group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59</xdr:row>
          <xdr:rowOff>28575</xdr:rowOff>
        </xdr:from>
        <xdr:to>
          <xdr:col>3</xdr:col>
          <xdr:colOff>923925</xdr:colOff>
          <xdr:row>59</xdr:row>
          <xdr:rowOff>219075</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59</xdr:row>
          <xdr:rowOff>9525</xdr:rowOff>
        </xdr:from>
        <xdr:to>
          <xdr:col>4</xdr:col>
          <xdr:colOff>923925</xdr:colOff>
          <xdr:row>59</xdr:row>
          <xdr:rowOff>219075</xdr:rowOff>
        </xdr:to>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60</xdr:row>
          <xdr:rowOff>19050</xdr:rowOff>
        </xdr:from>
        <xdr:to>
          <xdr:col>4</xdr:col>
          <xdr:colOff>952500</xdr:colOff>
          <xdr:row>61</xdr:row>
          <xdr:rowOff>0</xdr:rowOff>
        </xdr:to>
        <xdr:sp macro="" textlink="">
          <xdr:nvSpPr>
            <xdr:cNvPr id="3213" name="Group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60</xdr:row>
          <xdr:rowOff>28575</xdr:rowOff>
        </xdr:from>
        <xdr:to>
          <xdr:col>3</xdr:col>
          <xdr:colOff>923925</xdr:colOff>
          <xdr:row>60</xdr:row>
          <xdr:rowOff>228600</xdr:rowOff>
        </xdr:to>
        <xdr:sp macro="" textlink="">
          <xdr:nvSpPr>
            <xdr:cNvPr id="3214" name="Option Button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60</xdr:row>
          <xdr:rowOff>38100</xdr:rowOff>
        </xdr:from>
        <xdr:to>
          <xdr:col>4</xdr:col>
          <xdr:colOff>914400</xdr:colOff>
          <xdr:row>60</xdr:row>
          <xdr:rowOff>238125</xdr:rowOff>
        </xdr:to>
        <xdr:sp macro="" textlink="">
          <xdr:nvSpPr>
            <xdr:cNvPr id="3215" name="Option Button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61</xdr:row>
          <xdr:rowOff>19050</xdr:rowOff>
        </xdr:from>
        <xdr:to>
          <xdr:col>5</xdr:col>
          <xdr:colOff>0</xdr:colOff>
          <xdr:row>62</xdr:row>
          <xdr:rowOff>0</xdr:rowOff>
        </xdr:to>
        <xdr:sp macro="" textlink="">
          <xdr:nvSpPr>
            <xdr:cNvPr id="3216" name="Group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61</xdr:row>
          <xdr:rowOff>38100</xdr:rowOff>
        </xdr:from>
        <xdr:to>
          <xdr:col>3</xdr:col>
          <xdr:colOff>933450</xdr:colOff>
          <xdr:row>61</xdr:row>
          <xdr:rowOff>200025</xdr:rowOff>
        </xdr:to>
        <xdr:sp macro="" textlink="">
          <xdr:nvSpPr>
            <xdr:cNvPr id="3220" name="Option Button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61</xdr:row>
          <xdr:rowOff>38100</xdr:rowOff>
        </xdr:from>
        <xdr:to>
          <xdr:col>4</xdr:col>
          <xdr:colOff>923925</xdr:colOff>
          <xdr:row>61</xdr:row>
          <xdr:rowOff>209550</xdr:rowOff>
        </xdr:to>
        <xdr:sp macro="" textlink="">
          <xdr:nvSpPr>
            <xdr:cNvPr id="3221" name="Option Button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9525</xdr:rowOff>
        </xdr:from>
        <xdr:to>
          <xdr:col>5</xdr:col>
          <xdr:colOff>9525</xdr:colOff>
          <xdr:row>63</xdr:row>
          <xdr:rowOff>9525</xdr:rowOff>
        </xdr:to>
        <xdr:sp macro="" textlink="">
          <xdr:nvSpPr>
            <xdr:cNvPr id="3222" name="Group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62</xdr:row>
          <xdr:rowOff>19050</xdr:rowOff>
        </xdr:from>
        <xdr:to>
          <xdr:col>3</xdr:col>
          <xdr:colOff>942975</xdr:colOff>
          <xdr:row>62</xdr:row>
          <xdr:rowOff>209550</xdr:rowOff>
        </xdr:to>
        <xdr:sp macro="" textlink="">
          <xdr:nvSpPr>
            <xdr:cNvPr id="3223" name="Option Button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62</xdr:row>
          <xdr:rowOff>28575</xdr:rowOff>
        </xdr:from>
        <xdr:to>
          <xdr:col>4</xdr:col>
          <xdr:colOff>914400</xdr:colOff>
          <xdr:row>62</xdr:row>
          <xdr:rowOff>200025</xdr:rowOff>
        </xdr:to>
        <xdr:sp macro="" textlink="">
          <xdr:nvSpPr>
            <xdr:cNvPr id="3224" name="Option Button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6</xdr:row>
          <xdr:rowOff>19050</xdr:rowOff>
        </xdr:from>
        <xdr:to>
          <xdr:col>2</xdr:col>
          <xdr:colOff>1200150</xdr:colOff>
          <xdr:row>6</xdr:row>
          <xdr:rowOff>228600</xdr:rowOff>
        </xdr:to>
        <xdr:sp macro="" textlink="">
          <xdr:nvSpPr>
            <xdr:cNvPr id="10241" name="Drop Dow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19050</xdr:rowOff>
        </xdr:from>
        <xdr:to>
          <xdr:col>2</xdr:col>
          <xdr:colOff>1200150</xdr:colOff>
          <xdr:row>7</xdr:row>
          <xdr:rowOff>228600</xdr:rowOff>
        </xdr:to>
        <xdr:sp macro="" textlink="">
          <xdr:nvSpPr>
            <xdr:cNvPr id="10242" name="Drop Dow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29</xdr:row>
          <xdr:rowOff>38100</xdr:rowOff>
        </xdr:from>
        <xdr:to>
          <xdr:col>2</xdr:col>
          <xdr:colOff>790575</xdr:colOff>
          <xdr:row>29</xdr:row>
          <xdr:rowOff>314325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30</xdr:row>
          <xdr:rowOff>38100</xdr:rowOff>
        </xdr:from>
        <xdr:to>
          <xdr:col>2</xdr:col>
          <xdr:colOff>790575</xdr:colOff>
          <xdr:row>30</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33</xdr:row>
          <xdr:rowOff>19050</xdr:rowOff>
        </xdr:from>
        <xdr:to>
          <xdr:col>2</xdr:col>
          <xdr:colOff>762000</xdr:colOff>
          <xdr:row>33</xdr:row>
          <xdr:rowOff>247650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34</xdr:row>
          <xdr:rowOff>28575</xdr:rowOff>
        </xdr:from>
        <xdr:to>
          <xdr:col>2</xdr:col>
          <xdr:colOff>695325</xdr:colOff>
          <xdr:row>34</xdr:row>
          <xdr:rowOff>247650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35</xdr:row>
          <xdr:rowOff>38100</xdr:rowOff>
        </xdr:from>
        <xdr:to>
          <xdr:col>2</xdr:col>
          <xdr:colOff>676275</xdr:colOff>
          <xdr:row>35</xdr:row>
          <xdr:rowOff>209550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28575</xdr:rowOff>
        </xdr:from>
        <xdr:to>
          <xdr:col>2</xdr:col>
          <xdr:colOff>1209675</xdr:colOff>
          <xdr:row>15</xdr:row>
          <xdr:rowOff>228600</xdr:rowOff>
        </xdr:to>
        <xdr:sp macro="" textlink="">
          <xdr:nvSpPr>
            <xdr:cNvPr id="10251" name="Drop Down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28575</xdr:rowOff>
        </xdr:from>
        <xdr:to>
          <xdr:col>2</xdr:col>
          <xdr:colOff>1209675</xdr:colOff>
          <xdr:row>16</xdr:row>
          <xdr:rowOff>228600</xdr:rowOff>
        </xdr:to>
        <xdr:sp macro="" textlink="">
          <xdr:nvSpPr>
            <xdr:cNvPr id="10252" name="Drop Down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28575</xdr:rowOff>
        </xdr:from>
        <xdr:to>
          <xdr:col>2</xdr:col>
          <xdr:colOff>1209675</xdr:colOff>
          <xdr:row>17</xdr:row>
          <xdr:rowOff>228600</xdr:rowOff>
        </xdr:to>
        <xdr:sp macro="" textlink="">
          <xdr:nvSpPr>
            <xdr:cNvPr id="10253" name="Drop Down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28575</xdr:rowOff>
        </xdr:from>
        <xdr:to>
          <xdr:col>2</xdr:col>
          <xdr:colOff>1209675</xdr:colOff>
          <xdr:row>18</xdr:row>
          <xdr:rowOff>228600</xdr:rowOff>
        </xdr:to>
        <xdr:sp macro="" textlink="">
          <xdr:nvSpPr>
            <xdr:cNvPr id="10254" name="Drop Down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19</xdr:row>
          <xdr:rowOff>28575</xdr:rowOff>
        </xdr:from>
        <xdr:to>
          <xdr:col>2</xdr:col>
          <xdr:colOff>1209675</xdr:colOff>
          <xdr:row>19</xdr:row>
          <xdr:rowOff>228600</xdr:rowOff>
        </xdr:to>
        <xdr:sp macro="" textlink="">
          <xdr:nvSpPr>
            <xdr:cNvPr id="10255" name="Drop Down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28575</xdr:rowOff>
        </xdr:from>
        <xdr:to>
          <xdr:col>2</xdr:col>
          <xdr:colOff>1209675</xdr:colOff>
          <xdr:row>20</xdr:row>
          <xdr:rowOff>228600</xdr:rowOff>
        </xdr:to>
        <xdr:sp macro="" textlink="">
          <xdr:nvSpPr>
            <xdr:cNvPr id="10256" name="Drop Down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29</xdr:row>
          <xdr:rowOff>47625</xdr:rowOff>
        </xdr:from>
        <xdr:to>
          <xdr:col>4</xdr:col>
          <xdr:colOff>514350</xdr:colOff>
          <xdr:row>29</xdr:row>
          <xdr:rowOff>247650</xdr:rowOff>
        </xdr:to>
        <xdr:sp macro="" textlink="">
          <xdr:nvSpPr>
            <xdr:cNvPr id="10257" name="Drop Down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30</xdr:row>
          <xdr:rowOff>47625</xdr:rowOff>
        </xdr:from>
        <xdr:to>
          <xdr:col>4</xdr:col>
          <xdr:colOff>504825</xdr:colOff>
          <xdr:row>30</xdr:row>
          <xdr:rowOff>247650</xdr:rowOff>
        </xdr:to>
        <xdr:sp macro="" textlink="">
          <xdr:nvSpPr>
            <xdr:cNvPr id="10258" name="Drop Down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31</xdr:row>
          <xdr:rowOff>0</xdr:rowOff>
        </xdr:from>
        <xdr:to>
          <xdr:col>2</xdr:col>
          <xdr:colOff>790575</xdr:colOff>
          <xdr:row>31</xdr:row>
          <xdr:rowOff>228600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31</xdr:row>
          <xdr:rowOff>57150</xdr:rowOff>
        </xdr:from>
        <xdr:to>
          <xdr:col>4</xdr:col>
          <xdr:colOff>514350</xdr:colOff>
          <xdr:row>31</xdr:row>
          <xdr:rowOff>257175</xdr:rowOff>
        </xdr:to>
        <xdr:sp macro="" textlink="">
          <xdr:nvSpPr>
            <xdr:cNvPr id="10260" name="Drop Down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32</xdr:row>
          <xdr:rowOff>47625</xdr:rowOff>
        </xdr:from>
        <xdr:to>
          <xdr:col>2</xdr:col>
          <xdr:colOff>676275</xdr:colOff>
          <xdr:row>32</xdr:row>
          <xdr:rowOff>228600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32</xdr:row>
          <xdr:rowOff>57150</xdr:rowOff>
        </xdr:from>
        <xdr:to>
          <xdr:col>4</xdr:col>
          <xdr:colOff>514350</xdr:colOff>
          <xdr:row>32</xdr:row>
          <xdr:rowOff>257175</xdr:rowOff>
        </xdr:to>
        <xdr:sp macro="" textlink="">
          <xdr:nvSpPr>
            <xdr:cNvPr id="10262" name="Drop Down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xdr:row>
          <xdr:rowOff>0</xdr:rowOff>
        </xdr:from>
        <xdr:to>
          <xdr:col>10</xdr:col>
          <xdr:colOff>0</xdr:colOff>
          <xdr:row>5</xdr:row>
          <xdr:rowOff>0</xdr:rowOff>
        </xdr:to>
        <xdr:sp macro="" textlink="">
          <xdr:nvSpPr>
            <xdr:cNvPr id="10263" name="Group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4</xdr:row>
          <xdr:rowOff>28575</xdr:rowOff>
        </xdr:from>
        <xdr:to>
          <xdr:col>7</xdr:col>
          <xdr:colOff>866775</xdr:colOff>
          <xdr:row>4</xdr:row>
          <xdr:rowOff>209550</xdr:rowOff>
        </xdr:to>
        <xdr:sp macro="" textlink="">
          <xdr:nvSpPr>
            <xdr:cNvPr id="10264" name="Option Button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4</xdr:row>
          <xdr:rowOff>38100</xdr:rowOff>
        </xdr:from>
        <xdr:to>
          <xdr:col>9</xdr:col>
          <xdr:colOff>695325</xdr:colOff>
          <xdr:row>4</xdr:row>
          <xdr:rowOff>209550</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28575</xdr:rowOff>
        </xdr:from>
        <xdr:to>
          <xdr:col>2</xdr:col>
          <xdr:colOff>1200150</xdr:colOff>
          <xdr:row>3</xdr:row>
          <xdr:rowOff>228600</xdr:rowOff>
        </xdr:to>
        <xdr:sp macro="" textlink="">
          <xdr:nvSpPr>
            <xdr:cNvPr id="10266" name="Drop Down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1162050</xdr:colOff>
          <xdr:row>25</xdr:row>
          <xdr:rowOff>9525</xdr:rowOff>
        </xdr:to>
        <xdr:sp macro="" textlink="">
          <xdr:nvSpPr>
            <xdr:cNvPr id="10267" name="Group Box 27" hidden="1">
              <a:extLst>
                <a:ext uri="{63B3BB69-23CF-44E3-9099-C40C66FF867C}">
                  <a14:compatExt spid="_x0000_s10267"/>
                </a:ext>
                <a:ext uri="{FF2B5EF4-FFF2-40B4-BE49-F238E27FC236}">
                  <a16:creationId xmlns:a16="http://schemas.microsoft.com/office/drawing/2014/main" id="{00000000-0008-0000-0500-00001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1133475</xdr:colOff>
          <xdr:row>24</xdr:row>
          <xdr:rowOff>38100</xdr:rowOff>
        </xdr:from>
        <xdr:to>
          <xdr:col>1</xdr:col>
          <xdr:colOff>1362075</xdr:colOff>
          <xdr:row>24</xdr:row>
          <xdr:rowOff>228600</xdr:rowOff>
        </xdr:to>
        <xdr:sp macro="" textlink="">
          <xdr:nvSpPr>
            <xdr:cNvPr id="10268" name="Option Button 28" hidden="1">
              <a:extLst>
                <a:ext uri="{63B3BB69-23CF-44E3-9099-C40C66FF867C}">
                  <a14:compatExt spid="_x0000_s10268"/>
                </a:ext>
                <a:ext uri="{FF2B5EF4-FFF2-40B4-BE49-F238E27FC236}">
                  <a16:creationId xmlns:a16="http://schemas.microsoft.com/office/drawing/2014/main" id="{00000000-0008-0000-05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24</xdr:row>
          <xdr:rowOff>47625</xdr:rowOff>
        </xdr:from>
        <xdr:to>
          <xdr:col>2</xdr:col>
          <xdr:colOff>942975</xdr:colOff>
          <xdr:row>24</xdr:row>
          <xdr:rowOff>209550</xdr:rowOff>
        </xdr:to>
        <xdr:sp macro="" textlink="">
          <xdr:nvSpPr>
            <xdr:cNvPr id="10269" name="Option Button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828675</xdr:colOff>
          <xdr:row>38</xdr:row>
          <xdr:rowOff>85725</xdr:rowOff>
        </xdr:from>
        <xdr:to>
          <xdr:col>1</xdr:col>
          <xdr:colOff>1085850</xdr:colOff>
          <xdr:row>38</xdr:row>
          <xdr:rowOff>285750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5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5</xdr:col>
          <xdr:colOff>0</xdr:colOff>
          <xdr:row>23</xdr:row>
          <xdr:rowOff>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22</xdr:row>
          <xdr:rowOff>47625</xdr:rowOff>
        </xdr:from>
        <xdr:to>
          <xdr:col>3</xdr:col>
          <xdr:colOff>933450</xdr:colOff>
          <xdr:row>22</xdr:row>
          <xdr:rowOff>190500</xdr:rowOff>
        </xdr:to>
        <xdr:sp macro="" textlink="">
          <xdr:nvSpPr>
            <xdr:cNvPr id="11266" name="Option Button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38100</xdr:rowOff>
        </xdr:from>
        <xdr:to>
          <xdr:col>4</xdr:col>
          <xdr:colOff>904875</xdr:colOff>
          <xdr:row>23</xdr:row>
          <xdr:rowOff>0</xdr:rowOff>
        </xdr:to>
        <xdr:sp macro="" textlink="">
          <xdr:nvSpPr>
            <xdr:cNvPr id="11267" name="Option Button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5</xdr:col>
          <xdr:colOff>0</xdr:colOff>
          <xdr:row>24</xdr:row>
          <xdr:rowOff>238125</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24</xdr:row>
          <xdr:rowOff>19050</xdr:rowOff>
        </xdr:from>
        <xdr:to>
          <xdr:col>4</xdr:col>
          <xdr:colOff>0</xdr:colOff>
          <xdr:row>24</xdr:row>
          <xdr:rowOff>200025</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19050</xdr:rowOff>
        </xdr:from>
        <xdr:to>
          <xdr:col>4</xdr:col>
          <xdr:colOff>914400</xdr:colOff>
          <xdr:row>24</xdr:row>
          <xdr:rowOff>200025</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67</xdr:row>
          <xdr:rowOff>9525</xdr:rowOff>
        </xdr:from>
        <xdr:to>
          <xdr:col>5</xdr:col>
          <xdr:colOff>0</xdr:colOff>
          <xdr:row>68</xdr:row>
          <xdr:rowOff>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67</xdr:row>
          <xdr:rowOff>38100</xdr:rowOff>
        </xdr:from>
        <xdr:to>
          <xdr:col>3</xdr:col>
          <xdr:colOff>914400</xdr:colOff>
          <xdr:row>68</xdr:row>
          <xdr:rowOff>0</xdr:rowOff>
        </xdr:to>
        <xdr:sp macro="" textlink="">
          <xdr:nvSpPr>
            <xdr:cNvPr id="11272" name="Option Button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67</xdr:row>
          <xdr:rowOff>38100</xdr:rowOff>
        </xdr:from>
        <xdr:to>
          <xdr:col>4</xdr:col>
          <xdr:colOff>895350</xdr:colOff>
          <xdr:row>68</xdr:row>
          <xdr:rowOff>0</xdr:rowOff>
        </xdr:to>
        <xdr:sp macro="" textlink="">
          <xdr:nvSpPr>
            <xdr:cNvPr id="11273" name="Option Button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xdr:row>
          <xdr:rowOff>0</xdr:rowOff>
        </xdr:from>
        <xdr:to>
          <xdr:col>5</xdr:col>
          <xdr:colOff>0</xdr:colOff>
          <xdr:row>9</xdr:row>
          <xdr:rowOff>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8</xdr:row>
          <xdr:rowOff>38100</xdr:rowOff>
        </xdr:from>
        <xdr:to>
          <xdr:col>3</xdr:col>
          <xdr:colOff>895350</xdr:colOff>
          <xdr:row>8</xdr:row>
          <xdr:rowOff>200025</xdr:rowOff>
        </xdr:to>
        <xdr:sp macro="" textlink="">
          <xdr:nvSpPr>
            <xdr:cNvPr id="11275" name="Option Button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8</xdr:row>
          <xdr:rowOff>38100</xdr:rowOff>
        </xdr:from>
        <xdr:to>
          <xdr:col>4</xdr:col>
          <xdr:colOff>876300</xdr:colOff>
          <xdr:row>8</xdr:row>
          <xdr:rowOff>190500</xdr:rowOff>
        </xdr:to>
        <xdr:sp macro="" textlink="">
          <xdr:nvSpPr>
            <xdr:cNvPr id="11276" name="Option Button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xdr:rowOff>
        </xdr:from>
        <xdr:to>
          <xdr:col>5</xdr:col>
          <xdr:colOff>0</xdr:colOff>
          <xdr:row>9</xdr:row>
          <xdr:rowOff>238125</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9</xdr:row>
          <xdr:rowOff>57150</xdr:rowOff>
        </xdr:from>
        <xdr:to>
          <xdr:col>3</xdr:col>
          <xdr:colOff>933450</xdr:colOff>
          <xdr:row>9</xdr:row>
          <xdr:rowOff>209550</xdr:rowOff>
        </xdr:to>
        <xdr:sp macro="" textlink="">
          <xdr:nvSpPr>
            <xdr:cNvPr id="11278" name="Option Button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9</xdr:row>
          <xdr:rowOff>38100</xdr:rowOff>
        </xdr:from>
        <xdr:to>
          <xdr:col>4</xdr:col>
          <xdr:colOff>914400</xdr:colOff>
          <xdr:row>9</xdr:row>
          <xdr:rowOff>200025</xdr:rowOff>
        </xdr:to>
        <xdr:sp macro="" textlink="">
          <xdr:nvSpPr>
            <xdr:cNvPr id="11279" name="Option Button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11</xdr:row>
          <xdr:rowOff>9525</xdr:rowOff>
        </xdr:from>
        <xdr:to>
          <xdr:col>5</xdr:col>
          <xdr:colOff>0</xdr:colOff>
          <xdr:row>11</xdr:row>
          <xdr:rowOff>238125</xdr:rowOff>
        </xdr:to>
        <xdr:sp macro="" textlink="">
          <xdr:nvSpPr>
            <xdr:cNvPr id="11280" name="Group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11</xdr:row>
          <xdr:rowOff>47625</xdr:rowOff>
        </xdr:from>
        <xdr:to>
          <xdr:col>3</xdr:col>
          <xdr:colOff>914400</xdr:colOff>
          <xdr:row>11</xdr:row>
          <xdr:rowOff>228600</xdr:rowOff>
        </xdr:to>
        <xdr:sp macro="" textlink="">
          <xdr:nvSpPr>
            <xdr:cNvPr id="11281" name="Option Button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xdr:row>
          <xdr:rowOff>57150</xdr:rowOff>
        </xdr:from>
        <xdr:to>
          <xdr:col>4</xdr:col>
          <xdr:colOff>895350</xdr:colOff>
          <xdr:row>11</xdr:row>
          <xdr:rowOff>200025</xdr:rowOff>
        </xdr:to>
        <xdr:sp macro="" textlink="">
          <xdr:nvSpPr>
            <xdr:cNvPr id="11282" name="Option Button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xdr:rowOff>
        </xdr:from>
        <xdr:to>
          <xdr:col>5</xdr:col>
          <xdr:colOff>0</xdr:colOff>
          <xdr:row>12</xdr:row>
          <xdr:rowOff>228600</xdr:rowOff>
        </xdr:to>
        <xdr:sp macro="" textlink="">
          <xdr:nvSpPr>
            <xdr:cNvPr id="11283" name="Group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12</xdr:row>
          <xdr:rowOff>38100</xdr:rowOff>
        </xdr:from>
        <xdr:to>
          <xdr:col>3</xdr:col>
          <xdr:colOff>933450</xdr:colOff>
          <xdr:row>12</xdr:row>
          <xdr:rowOff>190500</xdr:rowOff>
        </xdr:to>
        <xdr:sp macro="" textlink="">
          <xdr:nvSpPr>
            <xdr:cNvPr id="11284" name="Option Button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12</xdr:row>
          <xdr:rowOff>38100</xdr:rowOff>
        </xdr:from>
        <xdr:to>
          <xdr:col>4</xdr:col>
          <xdr:colOff>885825</xdr:colOff>
          <xdr:row>12</xdr:row>
          <xdr:rowOff>200025</xdr:rowOff>
        </xdr:to>
        <xdr:sp macro="" textlink="">
          <xdr:nvSpPr>
            <xdr:cNvPr id="11285" name="Option Button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5</xdr:col>
          <xdr:colOff>0</xdr:colOff>
          <xdr:row>14</xdr:row>
          <xdr:rowOff>238125</xdr:rowOff>
        </xdr:to>
        <xdr:sp macro="" textlink="">
          <xdr:nvSpPr>
            <xdr:cNvPr id="11286" name="Group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14</xdr:row>
          <xdr:rowOff>38100</xdr:rowOff>
        </xdr:from>
        <xdr:to>
          <xdr:col>3</xdr:col>
          <xdr:colOff>942975</xdr:colOff>
          <xdr:row>14</xdr:row>
          <xdr:rowOff>200025</xdr:rowOff>
        </xdr:to>
        <xdr:sp macro="" textlink="">
          <xdr:nvSpPr>
            <xdr:cNvPr id="11287" name="Option Button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14</xdr:row>
          <xdr:rowOff>28575</xdr:rowOff>
        </xdr:from>
        <xdr:to>
          <xdr:col>4</xdr:col>
          <xdr:colOff>876300</xdr:colOff>
          <xdr:row>14</xdr:row>
          <xdr:rowOff>190500</xdr:rowOff>
        </xdr:to>
        <xdr:sp macro="" textlink="">
          <xdr:nvSpPr>
            <xdr:cNvPr id="11288" name="Option Button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5</xdr:col>
          <xdr:colOff>0</xdr:colOff>
          <xdr:row>15</xdr:row>
          <xdr:rowOff>238125</xdr:rowOff>
        </xdr:to>
        <xdr:sp macro="" textlink="">
          <xdr:nvSpPr>
            <xdr:cNvPr id="11289" name="Group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15</xdr:row>
          <xdr:rowOff>47625</xdr:rowOff>
        </xdr:from>
        <xdr:to>
          <xdr:col>3</xdr:col>
          <xdr:colOff>923925</xdr:colOff>
          <xdr:row>15</xdr:row>
          <xdr:rowOff>200025</xdr:rowOff>
        </xdr:to>
        <xdr:sp macro="" textlink="">
          <xdr:nvSpPr>
            <xdr:cNvPr id="11290" name="Option Button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38100</xdr:rowOff>
        </xdr:from>
        <xdr:to>
          <xdr:col>4</xdr:col>
          <xdr:colOff>876300</xdr:colOff>
          <xdr:row>15</xdr:row>
          <xdr:rowOff>200025</xdr:rowOff>
        </xdr:to>
        <xdr:sp macro="" textlink="">
          <xdr:nvSpPr>
            <xdr:cNvPr id="11291" name="Option Button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9525</xdr:rowOff>
        </xdr:from>
        <xdr:to>
          <xdr:col>5</xdr:col>
          <xdr:colOff>0</xdr:colOff>
          <xdr:row>27</xdr:row>
          <xdr:rowOff>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26</xdr:row>
          <xdr:rowOff>57150</xdr:rowOff>
        </xdr:from>
        <xdr:to>
          <xdr:col>3</xdr:col>
          <xdr:colOff>933450</xdr:colOff>
          <xdr:row>26</xdr:row>
          <xdr:rowOff>361950</xdr:rowOff>
        </xdr:to>
        <xdr:sp macro="" textlink="">
          <xdr:nvSpPr>
            <xdr:cNvPr id="11293" name="Option Button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26</xdr:row>
          <xdr:rowOff>57150</xdr:rowOff>
        </xdr:from>
        <xdr:to>
          <xdr:col>4</xdr:col>
          <xdr:colOff>876300</xdr:colOff>
          <xdr:row>27</xdr:row>
          <xdr:rowOff>0</xdr:rowOff>
        </xdr:to>
        <xdr:sp macro="" textlink="">
          <xdr:nvSpPr>
            <xdr:cNvPr id="11294" name="Option Button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19050</xdr:rowOff>
        </xdr:from>
        <xdr:to>
          <xdr:col>5</xdr:col>
          <xdr:colOff>0</xdr:colOff>
          <xdr:row>29</xdr:row>
          <xdr:rowOff>0</xdr:rowOff>
        </xdr:to>
        <xdr:sp macro="" textlink="">
          <xdr:nvSpPr>
            <xdr:cNvPr id="11295" name="Group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28</xdr:row>
          <xdr:rowOff>104775</xdr:rowOff>
        </xdr:from>
        <xdr:to>
          <xdr:col>3</xdr:col>
          <xdr:colOff>914400</xdr:colOff>
          <xdr:row>29</xdr:row>
          <xdr:rowOff>0</xdr:rowOff>
        </xdr:to>
        <xdr:sp macro="" textlink="">
          <xdr:nvSpPr>
            <xdr:cNvPr id="11296" name="Option Button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28</xdr:row>
          <xdr:rowOff>104775</xdr:rowOff>
        </xdr:from>
        <xdr:to>
          <xdr:col>4</xdr:col>
          <xdr:colOff>885825</xdr:colOff>
          <xdr:row>29</xdr:row>
          <xdr:rowOff>0</xdr:rowOff>
        </xdr:to>
        <xdr:sp macro="" textlink="">
          <xdr:nvSpPr>
            <xdr:cNvPr id="11297" name="Option Button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9525</xdr:rowOff>
        </xdr:from>
        <xdr:to>
          <xdr:col>5</xdr:col>
          <xdr:colOff>0</xdr:colOff>
          <xdr:row>31</xdr:row>
          <xdr:rowOff>0</xdr:rowOff>
        </xdr:to>
        <xdr:sp macro="" textlink="">
          <xdr:nvSpPr>
            <xdr:cNvPr id="11298" name="Group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30</xdr:row>
          <xdr:rowOff>114300</xdr:rowOff>
        </xdr:from>
        <xdr:to>
          <xdr:col>3</xdr:col>
          <xdr:colOff>933450</xdr:colOff>
          <xdr:row>30</xdr:row>
          <xdr:rowOff>352425</xdr:rowOff>
        </xdr:to>
        <xdr:sp macro="" textlink="">
          <xdr:nvSpPr>
            <xdr:cNvPr id="11299" name="Option Button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30</xdr:row>
          <xdr:rowOff>114300</xdr:rowOff>
        </xdr:from>
        <xdr:to>
          <xdr:col>4</xdr:col>
          <xdr:colOff>885825</xdr:colOff>
          <xdr:row>30</xdr:row>
          <xdr:rowOff>323850</xdr:rowOff>
        </xdr:to>
        <xdr:sp macro="" textlink="">
          <xdr:nvSpPr>
            <xdr:cNvPr id="11300" name="Option Button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5</xdr:col>
          <xdr:colOff>0</xdr:colOff>
          <xdr:row>33</xdr:row>
          <xdr:rowOff>28575</xdr:rowOff>
        </xdr:to>
        <xdr:sp macro="" textlink="">
          <xdr:nvSpPr>
            <xdr:cNvPr id="11301" name="Group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32</xdr:row>
          <xdr:rowOff>47625</xdr:rowOff>
        </xdr:from>
        <xdr:to>
          <xdr:col>3</xdr:col>
          <xdr:colOff>914400</xdr:colOff>
          <xdr:row>32</xdr:row>
          <xdr:rowOff>200025</xdr:rowOff>
        </xdr:to>
        <xdr:sp macro="" textlink="">
          <xdr:nvSpPr>
            <xdr:cNvPr id="11302" name="Option Button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32</xdr:row>
          <xdr:rowOff>47625</xdr:rowOff>
        </xdr:from>
        <xdr:to>
          <xdr:col>4</xdr:col>
          <xdr:colOff>885825</xdr:colOff>
          <xdr:row>33</xdr:row>
          <xdr:rowOff>0</xdr:rowOff>
        </xdr:to>
        <xdr:sp macro="" textlink="">
          <xdr:nvSpPr>
            <xdr:cNvPr id="11303" name="Option Button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9525</xdr:rowOff>
        </xdr:from>
        <xdr:to>
          <xdr:col>5</xdr:col>
          <xdr:colOff>0</xdr:colOff>
          <xdr:row>34</xdr:row>
          <xdr:rowOff>238125</xdr:rowOff>
        </xdr:to>
        <xdr:sp macro="" textlink="">
          <xdr:nvSpPr>
            <xdr:cNvPr id="11304" name="Group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34</xdr:row>
          <xdr:rowOff>28575</xdr:rowOff>
        </xdr:from>
        <xdr:to>
          <xdr:col>3</xdr:col>
          <xdr:colOff>952500</xdr:colOff>
          <xdr:row>34</xdr:row>
          <xdr:rowOff>200025</xdr:rowOff>
        </xdr:to>
        <xdr:sp macro="" textlink="">
          <xdr:nvSpPr>
            <xdr:cNvPr id="11305" name="Option Button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34</xdr:row>
          <xdr:rowOff>28575</xdr:rowOff>
        </xdr:from>
        <xdr:to>
          <xdr:col>4</xdr:col>
          <xdr:colOff>914400</xdr:colOff>
          <xdr:row>34</xdr:row>
          <xdr:rowOff>219075</xdr:rowOff>
        </xdr:to>
        <xdr:sp macro="" textlink="">
          <xdr:nvSpPr>
            <xdr:cNvPr id="11306" name="Option Button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49</xdr:row>
          <xdr:rowOff>9525</xdr:rowOff>
        </xdr:from>
        <xdr:to>
          <xdr:col>5</xdr:col>
          <xdr:colOff>0</xdr:colOff>
          <xdr:row>49</xdr:row>
          <xdr:rowOff>238125</xdr:rowOff>
        </xdr:to>
        <xdr:sp macro="" textlink="">
          <xdr:nvSpPr>
            <xdr:cNvPr id="11307" name="Group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49</xdr:row>
          <xdr:rowOff>28575</xdr:rowOff>
        </xdr:from>
        <xdr:to>
          <xdr:col>3</xdr:col>
          <xdr:colOff>914400</xdr:colOff>
          <xdr:row>49</xdr:row>
          <xdr:rowOff>200025</xdr:rowOff>
        </xdr:to>
        <xdr:sp macro="" textlink="">
          <xdr:nvSpPr>
            <xdr:cNvPr id="11308" name="Option Button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49</xdr:row>
          <xdr:rowOff>38100</xdr:rowOff>
        </xdr:from>
        <xdr:to>
          <xdr:col>4</xdr:col>
          <xdr:colOff>895350</xdr:colOff>
          <xdr:row>49</xdr:row>
          <xdr:rowOff>200025</xdr:rowOff>
        </xdr:to>
        <xdr:sp macro="" textlink="">
          <xdr:nvSpPr>
            <xdr:cNvPr id="11309" name="Option Button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51</xdr:row>
          <xdr:rowOff>9525</xdr:rowOff>
        </xdr:from>
        <xdr:to>
          <xdr:col>5</xdr:col>
          <xdr:colOff>0</xdr:colOff>
          <xdr:row>53</xdr:row>
          <xdr:rowOff>304800</xdr:rowOff>
        </xdr:to>
        <xdr:sp macro="" textlink="">
          <xdr:nvSpPr>
            <xdr:cNvPr id="11310" name="Group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52</xdr:row>
          <xdr:rowOff>38100</xdr:rowOff>
        </xdr:from>
        <xdr:to>
          <xdr:col>3</xdr:col>
          <xdr:colOff>914400</xdr:colOff>
          <xdr:row>52</xdr:row>
          <xdr:rowOff>304800</xdr:rowOff>
        </xdr:to>
        <xdr:sp macro="" textlink="">
          <xdr:nvSpPr>
            <xdr:cNvPr id="11311" name="Option Button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52</xdr:row>
          <xdr:rowOff>28575</xdr:rowOff>
        </xdr:from>
        <xdr:to>
          <xdr:col>4</xdr:col>
          <xdr:colOff>914400</xdr:colOff>
          <xdr:row>52</xdr:row>
          <xdr:rowOff>285750</xdr:rowOff>
        </xdr:to>
        <xdr:sp macro="" textlink="">
          <xdr:nvSpPr>
            <xdr:cNvPr id="11312" name="Option Button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57150</xdr:rowOff>
        </xdr:from>
        <xdr:to>
          <xdr:col>4</xdr:col>
          <xdr:colOff>704850</xdr:colOff>
          <xdr:row>52</xdr:row>
          <xdr:rowOff>276225</xdr:rowOff>
        </xdr:to>
        <xdr:sp macro="" textlink="">
          <xdr:nvSpPr>
            <xdr:cNvPr id="11313" name="Drop Down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54</xdr:row>
          <xdr:rowOff>9525</xdr:rowOff>
        </xdr:from>
        <xdr:to>
          <xdr:col>5</xdr:col>
          <xdr:colOff>0</xdr:colOff>
          <xdr:row>54</xdr:row>
          <xdr:rowOff>304800</xdr:rowOff>
        </xdr:to>
        <xdr:sp macro="" textlink="">
          <xdr:nvSpPr>
            <xdr:cNvPr id="11314" name="Group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54</xdr:row>
          <xdr:rowOff>38100</xdr:rowOff>
        </xdr:from>
        <xdr:to>
          <xdr:col>3</xdr:col>
          <xdr:colOff>904875</xdr:colOff>
          <xdr:row>54</xdr:row>
          <xdr:rowOff>247650</xdr:rowOff>
        </xdr:to>
        <xdr:sp macro="" textlink="">
          <xdr:nvSpPr>
            <xdr:cNvPr id="11315" name="Option Button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54</xdr:row>
          <xdr:rowOff>47625</xdr:rowOff>
        </xdr:from>
        <xdr:to>
          <xdr:col>4</xdr:col>
          <xdr:colOff>942975</xdr:colOff>
          <xdr:row>54</xdr:row>
          <xdr:rowOff>228600</xdr:rowOff>
        </xdr:to>
        <xdr:sp macro="" textlink="">
          <xdr:nvSpPr>
            <xdr:cNvPr id="11316" name="Option Button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54</xdr:row>
          <xdr:rowOff>47625</xdr:rowOff>
        </xdr:from>
        <xdr:to>
          <xdr:col>4</xdr:col>
          <xdr:colOff>704850</xdr:colOff>
          <xdr:row>54</xdr:row>
          <xdr:rowOff>247650</xdr:rowOff>
        </xdr:to>
        <xdr:sp macro="" textlink="">
          <xdr:nvSpPr>
            <xdr:cNvPr id="11317" name="Drop Down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9525</xdr:rowOff>
        </xdr:from>
        <xdr:to>
          <xdr:col>5</xdr:col>
          <xdr:colOff>0</xdr:colOff>
          <xdr:row>55</xdr:row>
          <xdr:rowOff>304800</xdr:rowOff>
        </xdr:to>
        <xdr:sp macro="" textlink="">
          <xdr:nvSpPr>
            <xdr:cNvPr id="11318" name="Group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55</xdr:row>
          <xdr:rowOff>28575</xdr:rowOff>
        </xdr:from>
        <xdr:to>
          <xdr:col>3</xdr:col>
          <xdr:colOff>914400</xdr:colOff>
          <xdr:row>55</xdr:row>
          <xdr:rowOff>228600</xdr:rowOff>
        </xdr:to>
        <xdr:sp macro="" textlink="">
          <xdr:nvSpPr>
            <xdr:cNvPr id="11319" name="Option Button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55</xdr:row>
          <xdr:rowOff>38100</xdr:rowOff>
        </xdr:from>
        <xdr:to>
          <xdr:col>4</xdr:col>
          <xdr:colOff>914400</xdr:colOff>
          <xdr:row>55</xdr:row>
          <xdr:rowOff>247650</xdr:rowOff>
        </xdr:to>
        <xdr:sp macro="" textlink="">
          <xdr:nvSpPr>
            <xdr:cNvPr id="11320" name="Option Button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55</xdr:row>
          <xdr:rowOff>47625</xdr:rowOff>
        </xdr:from>
        <xdr:to>
          <xdr:col>4</xdr:col>
          <xdr:colOff>704850</xdr:colOff>
          <xdr:row>55</xdr:row>
          <xdr:rowOff>247650</xdr:rowOff>
        </xdr:to>
        <xdr:sp macro="" textlink="">
          <xdr:nvSpPr>
            <xdr:cNvPr id="11321" name="Drop Down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56</xdr:row>
          <xdr:rowOff>9525</xdr:rowOff>
        </xdr:from>
        <xdr:to>
          <xdr:col>4</xdr:col>
          <xdr:colOff>952500</xdr:colOff>
          <xdr:row>57</xdr:row>
          <xdr:rowOff>0</xdr:rowOff>
        </xdr:to>
        <xdr:sp macro="" textlink="">
          <xdr:nvSpPr>
            <xdr:cNvPr id="11322" name="Group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56</xdr:row>
          <xdr:rowOff>95250</xdr:rowOff>
        </xdr:from>
        <xdr:to>
          <xdr:col>3</xdr:col>
          <xdr:colOff>942975</xdr:colOff>
          <xdr:row>56</xdr:row>
          <xdr:rowOff>209550</xdr:rowOff>
        </xdr:to>
        <xdr:sp macro="" textlink="">
          <xdr:nvSpPr>
            <xdr:cNvPr id="11323" name="Option Button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56</xdr:row>
          <xdr:rowOff>95250</xdr:rowOff>
        </xdr:from>
        <xdr:to>
          <xdr:col>4</xdr:col>
          <xdr:colOff>914400</xdr:colOff>
          <xdr:row>56</xdr:row>
          <xdr:rowOff>209550</xdr:rowOff>
        </xdr:to>
        <xdr:sp macro="" textlink="">
          <xdr:nvSpPr>
            <xdr:cNvPr id="11324" name="Option Button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57150</xdr:rowOff>
        </xdr:from>
        <xdr:to>
          <xdr:col>4</xdr:col>
          <xdr:colOff>704850</xdr:colOff>
          <xdr:row>56</xdr:row>
          <xdr:rowOff>266700</xdr:rowOff>
        </xdr:to>
        <xdr:sp macro="" textlink="">
          <xdr:nvSpPr>
            <xdr:cNvPr id="11325" name="Drop Down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70</xdr:row>
          <xdr:rowOff>9525</xdr:rowOff>
        </xdr:from>
        <xdr:to>
          <xdr:col>5</xdr:col>
          <xdr:colOff>0</xdr:colOff>
          <xdr:row>71</xdr:row>
          <xdr:rowOff>0</xdr:rowOff>
        </xdr:to>
        <xdr:sp macro="" textlink="">
          <xdr:nvSpPr>
            <xdr:cNvPr id="11326" name="Group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70</xdr:row>
          <xdr:rowOff>28575</xdr:rowOff>
        </xdr:from>
        <xdr:to>
          <xdr:col>3</xdr:col>
          <xdr:colOff>895350</xdr:colOff>
          <xdr:row>70</xdr:row>
          <xdr:rowOff>228600</xdr:rowOff>
        </xdr:to>
        <xdr:sp macro="" textlink="">
          <xdr:nvSpPr>
            <xdr:cNvPr id="11327" name="Option Button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70</xdr:row>
          <xdr:rowOff>28575</xdr:rowOff>
        </xdr:from>
        <xdr:to>
          <xdr:col>4</xdr:col>
          <xdr:colOff>914400</xdr:colOff>
          <xdr:row>70</xdr:row>
          <xdr:rowOff>219075</xdr:rowOff>
        </xdr:to>
        <xdr:sp macro="" textlink="">
          <xdr:nvSpPr>
            <xdr:cNvPr id="11328" name="Option Button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73</xdr:row>
          <xdr:rowOff>9525</xdr:rowOff>
        </xdr:from>
        <xdr:to>
          <xdr:col>5</xdr:col>
          <xdr:colOff>0</xdr:colOff>
          <xdr:row>75</xdr:row>
          <xdr:rowOff>0</xdr:rowOff>
        </xdr:to>
        <xdr:sp macro="" textlink="">
          <xdr:nvSpPr>
            <xdr:cNvPr id="11329" name="Group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73</xdr:row>
          <xdr:rowOff>28575</xdr:rowOff>
        </xdr:from>
        <xdr:to>
          <xdr:col>3</xdr:col>
          <xdr:colOff>590550</xdr:colOff>
          <xdr:row>74</xdr:row>
          <xdr:rowOff>0</xdr:rowOff>
        </xdr:to>
        <xdr:sp macro="" textlink="">
          <xdr:nvSpPr>
            <xdr:cNvPr id="11330" name="Option Button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102</xdr:row>
          <xdr:rowOff>9525</xdr:rowOff>
        </xdr:from>
        <xdr:to>
          <xdr:col>5</xdr:col>
          <xdr:colOff>0</xdr:colOff>
          <xdr:row>103</xdr:row>
          <xdr:rowOff>9525</xdr:rowOff>
        </xdr:to>
        <xdr:sp macro="" textlink="">
          <xdr:nvSpPr>
            <xdr:cNvPr id="11331" name="Group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102</xdr:row>
          <xdr:rowOff>19050</xdr:rowOff>
        </xdr:from>
        <xdr:to>
          <xdr:col>3</xdr:col>
          <xdr:colOff>609600</xdr:colOff>
          <xdr:row>102</xdr:row>
          <xdr:rowOff>180975</xdr:rowOff>
        </xdr:to>
        <xdr:sp macro="" textlink="">
          <xdr:nvSpPr>
            <xdr:cNvPr id="11332" name="Option Button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102</xdr:row>
          <xdr:rowOff>19050</xdr:rowOff>
        </xdr:from>
        <xdr:to>
          <xdr:col>4</xdr:col>
          <xdr:colOff>581025</xdr:colOff>
          <xdr:row>102</xdr:row>
          <xdr:rowOff>190500</xdr:rowOff>
        </xdr:to>
        <xdr:sp macro="" textlink="">
          <xdr:nvSpPr>
            <xdr:cNvPr id="11333" name="Option Button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9525</xdr:rowOff>
        </xdr:from>
        <xdr:to>
          <xdr:col>5</xdr:col>
          <xdr:colOff>9525</xdr:colOff>
          <xdr:row>17</xdr:row>
          <xdr:rowOff>238125</xdr:rowOff>
        </xdr:to>
        <xdr:sp macro="" textlink="">
          <xdr:nvSpPr>
            <xdr:cNvPr id="11334" name="Group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17</xdr:row>
          <xdr:rowOff>38100</xdr:rowOff>
        </xdr:from>
        <xdr:to>
          <xdr:col>3</xdr:col>
          <xdr:colOff>933450</xdr:colOff>
          <xdr:row>17</xdr:row>
          <xdr:rowOff>200025</xdr:rowOff>
        </xdr:to>
        <xdr:sp macro="" textlink="">
          <xdr:nvSpPr>
            <xdr:cNvPr id="11335" name="Option Button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17</xdr:row>
          <xdr:rowOff>38100</xdr:rowOff>
        </xdr:from>
        <xdr:to>
          <xdr:col>4</xdr:col>
          <xdr:colOff>885825</xdr:colOff>
          <xdr:row>17</xdr:row>
          <xdr:rowOff>209550</xdr:rowOff>
        </xdr:to>
        <xdr:sp macro="" textlink="">
          <xdr:nvSpPr>
            <xdr:cNvPr id="11336" name="Option Button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9525</xdr:rowOff>
        </xdr:from>
        <xdr:to>
          <xdr:col>4</xdr:col>
          <xdr:colOff>952500</xdr:colOff>
          <xdr:row>40</xdr:row>
          <xdr:rowOff>371475</xdr:rowOff>
        </xdr:to>
        <xdr:sp macro="" textlink="">
          <xdr:nvSpPr>
            <xdr:cNvPr id="11340" name="Group Box 76" hidden="1">
              <a:extLst>
                <a:ext uri="{63B3BB69-23CF-44E3-9099-C40C66FF867C}">
                  <a14:compatExt spid="_x0000_s11340"/>
                </a:ext>
                <a:ext uri="{FF2B5EF4-FFF2-40B4-BE49-F238E27FC236}">
                  <a16:creationId xmlns:a16="http://schemas.microsoft.com/office/drawing/2014/main" id="{00000000-0008-0000-0600-00004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40</xdr:row>
          <xdr:rowOff>76200</xdr:rowOff>
        </xdr:from>
        <xdr:to>
          <xdr:col>3</xdr:col>
          <xdr:colOff>962025</xdr:colOff>
          <xdr:row>40</xdr:row>
          <xdr:rowOff>276225</xdr:rowOff>
        </xdr:to>
        <xdr:sp macro="" textlink="">
          <xdr:nvSpPr>
            <xdr:cNvPr id="11341" name="Option Button 77" hidden="1">
              <a:extLst>
                <a:ext uri="{63B3BB69-23CF-44E3-9099-C40C66FF867C}">
                  <a14:compatExt spid="_x0000_s11341"/>
                </a:ext>
                <a:ext uri="{FF2B5EF4-FFF2-40B4-BE49-F238E27FC236}">
                  <a16:creationId xmlns:a16="http://schemas.microsoft.com/office/drawing/2014/main" id="{00000000-0008-0000-06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40</xdr:row>
          <xdr:rowOff>114300</xdr:rowOff>
        </xdr:from>
        <xdr:to>
          <xdr:col>4</xdr:col>
          <xdr:colOff>895350</xdr:colOff>
          <xdr:row>40</xdr:row>
          <xdr:rowOff>276225</xdr:rowOff>
        </xdr:to>
        <xdr:sp macro="" textlink="">
          <xdr:nvSpPr>
            <xdr:cNvPr id="11342" name="Option Button 78" hidden="1">
              <a:extLst>
                <a:ext uri="{63B3BB69-23CF-44E3-9099-C40C66FF867C}">
                  <a14:compatExt spid="_x0000_s11342"/>
                </a:ext>
                <a:ext uri="{FF2B5EF4-FFF2-40B4-BE49-F238E27FC236}">
                  <a16:creationId xmlns:a16="http://schemas.microsoft.com/office/drawing/2014/main" id="{00000000-0008-0000-06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9525</xdr:rowOff>
        </xdr:from>
        <xdr:to>
          <xdr:col>4</xdr:col>
          <xdr:colOff>952500</xdr:colOff>
          <xdr:row>43</xdr:row>
          <xdr:rowOff>0</xdr:rowOff>
        </xdr:to>
        <xdr:sp macro="" textlink="">
          <xdr:nvSpPr>
            <xdr:cNvPr id="11343" name="Group Box 79" hidden="1">
              <a:extLst>
                <a:ext uri="{63B3BB69-23CF-44E3-9099-C40C66FF867C}">
                  <a14:compatExt spid="_x0000_s11343"/>
                </a:ext>
                <a:ext uri="{FF2B5EF4-FFF2-40B4-BE49-F238E27FC236}">
                  <a16:creationId xmlns:a16="http://schemas.microsoft.com/office/drawing/2014/main" id="{00000000-0008-0000-0600-00004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42</xdr:row>
          <xdr:rowOff>47625</xdr:rowOff>
        </xdr:from>
        <xdr:to>
          <xdr:col>3</xdr:col>
          <xdr:colOff>914400</xdr:colOff>
          <xdr:row>42</xdr:row>
          <xdr:rowOff>200025</xdr:rowOff>
        </xdr:to>
        <xdr:sp macro="" textlink="">
          <xdr:nvSpPr>
            <xdr:cNvPr id="11344" name="Option Button 80" hidden="1">
              <a:extLst>
                <a:ext uri="{63B3BB69-23CF-44E3-9099-C40C66FF867C}">
                  <a14:compatExt spid="_x0000_s11344"/>
                </a:ext>
                <a:ext uri="{FF2B5EF4-FFF2-40B4-BE49-F238E27FC236}">
                  <a16:creationId xmlns:a16="http://schemas.microsoft.com/office/drawing/2014/main" id="{00000000-0008-0000-06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42</xdr:row>
          <xdr:rowOff>38100</xdr:rowOff>
        </xdr:from>
        <xdr:to>
          <xdr:col>4</xdr:col>
          <xdr:colOff>895350</xdr:colOff>
          <xdr:row>42</xdr:row>
          <xdr:rowOff>209550</xdr:rowOff>
        </xdr:to>
        <xdr:sp macro="" textlink="">
          <xdr:nvSpPr>
            <xdr:cNvPr id="11345" name="Option Button 81" hidden="1">
              <a:extLst>
                <a:ext uri="{63B3BB69-23CF-44E3-9099-C40C66FF867C}">
                  <a14:compatExt spid="_x0000_s11345"/>
                </a:ext>
                <a:ext uri="{FF2B5EF4-FFF2-40B4-BE49-F238E27FC236}">
                  <a16:creationId xmlns:a16="http://schemas.microsoft.com/office/drawing/2014/main" id="{00000000-0008-0000-06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9525</xdr:rowOff>
        </xdr:from>
        <xdr:to>
          <xdr:col>5</xdr:col>
          <xdr:colOff>0</xdr:colOff>
          <xdr:row>37</xdr:row>
          <xdr:rowOff>0</xdr:rowOff>
        </xdr:to>
        <xdr:sp macro="" textlink="">
          <xdr:nvSpPr>
            <xdr:cNvPr id="11346" name="Group Box 82" hidden="1">
              <a:extLst>
                <a:ext uri="{63B3BB69-23CF-44E3-9099-C40C66FF867C}">
                  <a14:compatExt spid="_x0000_s11346"/>
                </a:ext>
                <a:ext uri="{FF2B5EF4-FFF2-40B4-BE49-F238E27FC236}">
                  <a16:creationId xmlns:a16="http://schemas.microsoft.com/office/drawing/2014/main" id="{00000000-0008-0000-0600-00005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36</xdr:row>
          <xdr:rowOff>76200</xdr:rowOff>
        </xdr:from>
        <xdr:to>
          <xdr:col>3</xdr:col>
          <xdr:colOff>942975</xdr:colOff>
          <xdr:row>36</xdr:row>
          <xdr:rowOff>266700</xdr:rowOff>
        </xdr:to>
        <xdr:sp macro="" textlink="">
          <xdr:nvSpPr>
            <xdr:cNvPr id="11347" name="Option Button 83" hidden="1">
              <a:extLst>
                <a:ext uri="{63B3BB69-23CF-44E3-9099-C40C66FF867C}">
                  <a14:compatExt spid="_x0000_s11347"/>
                </a:ext>
                <a:ext uri="{FF2B5EF4-FFF2-40B4-BE49-F238E27FC236}">
                  <a16:creationId xmlns:a16="http://schemas.microsoft.com/office/drawing/2014/main" id="{00000000-0008-0000-06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36</xdr:row>
          <xdr:rowOff>76200</xdr:rowOff>
        </xdr:from>
        <xdr:to>
          <xdr:col>4</xdr:col>
          <xdr:colOff>895350</xdr:colOff>
          <xdr:row>36</xdr:row>
          <xdr:rowOff>276225</xdr:rowOff>
        </xdr:to>
        <xdr:sp macro="" textlink="">
          <xdr:nvSpPr>
            <xdr:cNvPr id="11348" name="Option Button 84" hidden="1">
              <a:extLst>
                <a:ext uri="{63B3BB69-23CF-44E3-9099-C40C66FF867C}">
                  <a14:compatExt spid="_x0000_s11348"/>
                </a:ext>
                <a:ext uri="{FF2B5EF4-FFF2-40B4-BE49-F238E27FC236}">
                  <a16:creationId xmlns:a16="http://schemas.microsoft.com/office/drawing/2014/main" id="{00000000-0008-0000-06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9525</xdr:rowOff>
        </xdr:from>
        <xdr:to>
          <xdr:col>5</xdr:col>
          <xdr:colOff>0</xdr:colOff>
          <xdr:row>38</xdr:row>
          <xdr:rowOff>371475</xdr:rowOff>
        </xdr:to>
        <xdr:sp macro="" textlink="">
          <xdr:nvSpPr>
            <xdr:cNvPr id="11349" name="Group Box 85" hidden="1">
              <a:extLst>
                <a:ext uri="{63B3BB69-23CF-44E3-9099-C40C66FF867C}">
                  <a14:compatExt spid="_x0000_s11349"/>
                </a:ext>
                <a:ext uri="{FF2B5EF4-FFF2-40B4-BE49-F238E27FC236}">
                  <a16:creationId xmlns:a16="http://schemas.microsoft.com/office/drawing/2014/main" id="{00000000-0008-0000-06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38</xdr:row>
          <xdr:rowOff>104775</xdr:rowOff>
        </xdr:from>
        <xdr:to>
          <xdr:col>3</xdr:col>
          <xdr:colOff>914400</xdr:colOff>
          <xdr:row>38</xdr:row>
          <xdr:rowOff>257175</xdr:rowOff>
        </xdr:to>
        <xdr:sp macro="" textlink="">
          <xdr:nvSpPr>
            <xdr:cNvPr id="11350" name="Option Button 86" hidden="1">
              <a:extLst>
                <a:ext uri="{63B3BB69-23CF-44E3-9099-C40C66FF867C}">
                  <a14:compatExt spid="_x0000_s11350"/>
                </a:ext>
                <a:ext uri="{FF2B5EF4-FFF2-40B4-BE49-F238E27FC236}">
                  <a16:creationId xmlns:a16="http://schemas.microsoft.com/office/drawing/2014/main" id="{00000000-0008-0000-06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38</xdr:row>
          <xdr:rowOff>95250</xdr:rowOff>
        </xdr:from>
        <xdr:to>
          <xdr:col>4</xdr:col>
          <xdr:colOff>895350</xdr:colOff>
          <xdr:row>38</xdr:row>
          <xdr:rowOff>247650</xdr:rowOff>
        </xdr:to>
        <xdr:sp macro="" textlink="">
          <xdr:nvSpPr>
            <xdr:cNvPr id="11351" name="Option Button 87" hidden="1">
              <a:extLst>
                <a:ext uri="{63B3BB69-23CF-44E3-9099-C40C66FF867C}">
                  <a14:compatExt spid="_x0000_s11351"/>
                </a:ext>
                <a:ext uri="{FF2B5EF4-FFF2-40B4-BE49-F238E27FC236}">
                  <a16:creationId xmlns:a16="http://schemas.microsoft.com/office/drawing/2014/main" id="{00000000-0008-0000-06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73</xdr:row>
          <xdr:rowOff>38100</xdr:rowOff>
        </xdr:from>
        <xdr:to>
          <xdr:col>4</xdr:col>
          <xdr:colOff>561975</xdr:colOff>
          <xdr:row>73</xdr:row>
          <xdr:rowOff>180975</xdr:rowOff>
        </xdr:to>
        <xdr:sp macro="" textlink="">
          <xdr:nvSpPr>
            <xdr:cNvPr id="11352" name="Option Button 88" hidden="1">
              <a:extLst>
                <a:ext uri="{63B3BB69-23CF-44E3-9099-C40C66FF867C}">
                  <a14:compatExt spid="_x0000_s11352"/>
                </a:ext>
                <a:ext uri="{FF2B5EF4-FFF2-40B4-BE49-F238E27FC236}">
                  <a16:creationId xmlns:a16="http://schemas.microsoft.com/office/drawing/2014/main" id="{00000000-0008-0000-06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68</xdr:row>
          <xdr:rowOff>9525</xdr:rowOff>
        </xdr:from>
        <xdr:to>
          <xdr:col>5</xdr:col>
          <xdr:colOff>0</xdr:colOff>
          <xdr:row>69</xdr:row>
          <xdr:rowOff>9525</xdr:rowOff>
        </xdr:to>
        <xdr:sp macro="" textlink="">
          <xdr:nvSpPr>
            <xdr:cNvPr id="11353" name="Group Box 89" hidden="1">
              <a:extLst>
                <a:ext uri="{63B3BB69-23CF-44E3-9099-C40C66FF867C}">
                  <a14:compatExt spid="_x0000_s11353"/>
                </a:ext>
                <a:ext uri="{FF2B5EF4-FFF2-40B4-BE49-F238E27FC236}">
                  <a16:creationId xmlns:a16="http://schemas.microsoft.com/office/drawing/2014/main" id="{00000000-0008-0000-06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68</xdr:row>
          <xdr:rowOff>38100</xdr:rowOff>
        </xdr:from>
        <xdr:to>
          <xdr:col>3</xdr:col>
          <xdr:colOff>885825</xdr:colOff>
          <xdr:row>68</xdr:row>
          <xdr:rowOff>209550</xdr:rowOff>
        </xdr:to>
        <xdr:sp macro="" textlink="">
          <xdr:nvSpPr>
            <xdr:cNvPr id="11354" name="Option Button 90" hidden="1">
              <a:extLst>
                <a:ext uri="{63B3BB69-23CF-44E3-9099-C40C66FF867C}">
                  <a14:compatExt spid="_x0000_s11354"/>
                </a:ext>
                <a:ext uri="{FF2B5EF4-FFF2-40B4-BE49-F238E27FC236}">
                  <a16:creationId xmlns:a16="http://schemas.microsoft.com/office/drawing/2014/main" id="{00000000-0008-0000-06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68</xdr:row>
          <xdr:rowOff>38100</xdr:rowOff>
        </xdr:from>
        <xdr:to>
          <xdr:col>4</xdr:col>
          <xdr:colOff>895350</xdr:colOff>
          <xdr:row>68</xdr:row>
          <xdr:rowOff>190500</xdr:rowOff>
        </xdr:to>
        <xdr:sp macro="" textlink="">
          <xdr:nvSpPr>
            <xdr:cNvPr id="11355" name="Option Button 91" hidden="1">
              <a:extLst>
                <a:ext uri="{63B3BB69-23CF-44E3-9099-C40C66FF867C}">
                  <a14:compatExt spid="_x0000_s11355"/>
                </a:ext>
                <a:ext uri="{FF2B5EF4-FFF2-40B4-BE49-F238E27FC236}">
                  <a16:creationId xmlns:a16="http://schemas.microsoft.com/office/drawing/2014/main" id="{00000000-0008-0000-06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9525</xdr:rowOff>
        </xdr:from>
        <xdr:to>
          <xdr:col>4</xdr:col>
          <xdr:colOff>952500</xdr:colOff>
          <xdr:row>72</xdr:row>
          <xdr:rowOff>0</xdr:rowOff>
        </xdr:to>
        <xdr:sp macro="" textlink="">
          <xdr:nvSpPr>
            <xdr:cNvPr id="11356" name="Group Box 92" hidden="1">
              <a:extLst>
                <a:ext uri="{63B3BB69-23CF-44E3-9099-C40C66FF867C}">
                  <a14:compatExt spid="_x0000_s11356"/>
                </a:ext>
                <a:ext uri="{FF2B5EF4-FFF2-40B4-BE49-F238E27FC236}">
                  <a16:creationId xmlns:a16="http://schemas.microsoft.com/office/drawing/2014/main" id="{00000000-0008-0000-0600-00005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71</xdr:row>
          <xdr:rowOff>47625</xdr:rowOff>
        </xdr:from>
        <xdr:to>
          <xdr:col>3</xdr:col>
          <xdr:colOff>885825</xdr:colOff>
          <xdr:row>71</xdr:row>
          <xdr:rowOff>209550</xdr:rowOff>
        </xdr:to>
        <xdr:sp macro="" textlink="">
          <xdr:nvSpPr>
            <xdr:cNvPr id="11357" name="Option Button 93" hidden="1">
              <a:extLst>
                <a:ext uri="{63B3BB69-23CF-44E3-9099-C40C66FF867C}">
                  <a14:compatExt spid="_x0000_s11357"/>
                </a:ext>
                <a:ext uri="{FF2B5EF4-FFF2-40B4-BE49-F238E27FC236}">
                  <a16:creationId xmlns:a16="http://schemas.microsoft.com/office/drawing/2014/main" id="{00000000-0008-0000-06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71</xdr:row>
          <xdr:rowOff>38100</xdr:rowOff>
        </xdr:from>
        <xdr:to>
          <xdr:col>4</xdr:col>
          <xdr:colOff>914400</xdr:colOff>
          <xdr:row>71</xdr:row>
          <xdr:rowOff>200025</xdr:rowOff>
        </xdr:to>
        <xdr:sp macro="" textlink="">
          <xdr:nvSpPr>
            <xdr:cNvPr id="11358" name="Option Button 94" hidden="1">
              <a:extLst>
                <a:ext uri="{63B3BB69-23CF-44E3-9099-C40C66FF867C}">
                  <a14:compatExt spid="_x0000_s11358"/>
                </a:ext>
                <a:ext uri="{FF2B5EF4-FFF2-40B4-BE49-F238E27FC236}">
                  <a16:creationId xmlns:a16="http://schemas.microsoft.com/office/drawing/2014/main" id="{00000000-0008-0000-06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5</xdr:col>
          <xdr:colOff>0</xdr:colOff>
          <xdr:row>5</xdr:row>
          <xdr:rowOff>0</xdr:rowOff>
        </xdr:to>
        <xdr:sp macro="" textlink="">
          <xdr:nvSpPr>
            <xdr:cNvPr id="11359" name="Group Box 95" hidden="1">
              <a:extLst>
                <a:ext uri="{63B3BB69-23CF-44E3-9099-C40C66FF867C}">
                  <a14:compatExt spid="_x0000_s11359"/>
                </a:ext>
                <a:ext uri="{FF2B5EF4-FFF2-40B4-BE49-F238E27FC236}">
                  <a16:creationId xmlns:a16="http://schemas.microsoft.com/office/drawing/2014/main" id="{00000000-0008-0000-06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4</xdr:row>
          <xdr:rowOff>19050</xdr:rowOff>
        </xdr:from>
        <xdr:to>
          <xdr:col>3</xdr:col>
          <xdr:colOff>942975</xdr:colOff>
          <xdr:row>4</xdr:row>
          <xdr:rowOff>228600</xdr:rowOff>
        </xdr:to>
        <xdr:sp macro="" textlink="">
          <xdr:nvSpPr>
            <xdr:cNvPr id="11360" name="Option Button 96" hidden="1">
              <a:extLst>
                <a:ext uri="{63B3BB69-23CF-44E3-9099-C40C66FF867C}">
                  <a14:compatExt spid="_x0000_s11360"/>
                </a:ext>
                <a:ext uri="{FF2B5EF4-FFF2-40B4-BE49-F238E27FC236}">
                  <a16:creationId xmlns:a16="http://schemas.microsoft.com/office/drawing/2014/main" id="{00000000-0008-0000-06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4</xdr:row>
          <xdr:rowOff>19050</xdr:rowOff>
        </xdr:from>
        <xdr:to>
          <xdr:col>5</xdr:col>
          <xdr:colOff>0</xdr:colOff>
          <xdr:row>4</xdr:row>
          <xdr:rowOff>228600</xdr:rowOff>
        </xdr:to>
        <xdr:sp macro="" textlink="">
          <xdr:nvSpPr>
            <xdr:cNvPr id="11361" name="Option Button 97" hidden="1">
              <a:extLst>
                <a:ext uri="{63B3BB69-23CF-44E3-9099-C40C66FF867C}">
                  <a14:compatExt spid="_x0000_s11361"/>
                </a:ext>
                <a:ext uri="{FF2B5EF4-FFF2-40B4-BE49-F238E27FC236}">
                  <a16:creationId xmlns:a16="http://schemas.microsoft.com/office/drawing/2014/main" id="{00000000-0008-0000-06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5</xdr:col>
          <xdr:colOff>0</xdr:colOff>
          <xdr:row>6</xdr:row>
          <xdr:rowOff>0</xdr:rowOff>
        </xdr:to>
        <xdr:sp macro="" textlink="">
          <xdr:nvSpPr>
            <xdr:cNvPr id="11362" name="Group Box 98" hidden="1">
              <a:extLst>
                <a:ext uri="{63B3BB69-23CF-44E3-9099-C40C66FF867C}">
                  <a14:compatExt spid="_x0000_s11362"/>
                </a:ext>
                <a:ext uri="{FF2B5EF4-FFF2-40B4-BE49-F238E27FC236}">
                  <a16:creationId xmlns:a16="http://schemas.microsoft.com/office/drawing/2014/main" id="{00000000-0008-0000-0600-00006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5</xdr:row>
          <xdr:rowOff>19050</xdr:rowOff>
        </xdr:from>
        <xdr:to>
          <xdr:col>3</xdr:col>
          <xdr:colOff>952500</xdr:colOff>
          <xdr:row>5</xdr:row>
          <xdr:rowOff>219075</xdr:rowOff>
        </xdr:to>
        <xdr:sp macro="" textlink="">
          <xdr:nvSpPr>
            <xdr:cNvPr id="11363" name="Option Button 99" hidden="1">
              <a:extLst>
                <a:ext uri="{63B3BB69-23CF-44E3-9099-C40C66FF867C}">
                  <a14:compatExt spid="_x0000_s11363"/>
                </a:ext>
                <a:ext uri="{FF2B5EF4-FFF2-40B4-BE49-F238E27FC236}">
                  <a16:creationId xmlns:a16="http://schemas.microsoft.com/office/drawing/2014/main" id="{00000000-0008-0000-06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5</xdr:row>
          <xdr:rowOff>28575</xdr:rowOff>
        </xdr:from>
        <xdr:to>
          <xdr:col>4</xdr:col>
          <xdr:colOff>942975</xdr:colOff>
          <xdr:row>5</xdr:row>
          <xdr:rowOff>228600</xdr:rowOff>
        </xdr:to>
        <xdr:sp macro="" textlink="">
          <xdr:nvSpPr>
            <xdr:cNvPr id="11364" name="Option Button 100" hidden="1">
              <a:extLst>
                <a:ext uri="{63B3BB69-23CF-44E3-9099-C40C66FF867C}">
                  <a14:compatExt spid="_x0000_s11364"/>
                </a:ext>
                <a:ext uri="{FF2B5EF4-FFF2-40B4-BE49-F238E27FC236}">
                  <a16:creationId xmlns:a16="http://schemas.microsoft.com/office/drawing/2014/main" id="{00000000-0008-0000-06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5</xdr:col>
          <xdr:colOff>0</xdr:colOff>
          <xdr:row>7</xdr:row>
          <xdr:rowOff>0</xdr:rowOff>
        </xdr:to>
        <xdr:sp macro="" textlink="">
          <xdr:nvSpPr>
            <xdr:cNvPr id="11365" name="Group Box 101" hidden="1">
              <a:extLst>
                <a:ext uri="{63B3BB69-23CF-44E3-9099-C40C66FF867C}">
                  <a14:compatExt spid="_x0000_s11365"/>
                </a:ext>
                <a:ext uri="{FF2B5EF4-FFF2-40B4-BE49-F238E27FC236}">
                  <a16:creationId xmlns:a16="http://schemas.microsoft.com/office/drawing/2014/main" id="{00000000-0008-0000-06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6</xdr:row>
          <xdr:rowOff>28575</xdr:rowOff>
        </xdr:from>
        <xdr:to>
          <xdr:col>3</xdr:col>
          <xdr:colOff>933450</xdr:colOff>
          <xdr:row>6</xdr:row>
          <xdr:rowOff>228600</xdr:rowOff>
        </xdr:to>
        <xdr:sp macro="" textlink="">
          <xdr:nvSpPr>
            <xdr:cNvPr id="11366" name="Option Button 102" hidden="1">
              <a:extLst>
                <a:ext uri="{63B3BB69-23CF-44E3-9099-C40C66FF867C}">
                  <a14:compatExt spid="_x0000_s11366"/>
                </a:ext>
                <a:ext uri="{FF2B5EF4-FFF2-40B4-BE49-F238E27FC236}">
                  <a16:creationId xmlns:a16="http://schemas.microsoft.com/office/drawing/2014/main" id="{00000000-0008-0000-06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6</xdr:row>
          <xdr:rowOff>28575</xdr:rowOff>
        </xdr:from>
        <xdr:to>
          <xdr:col>4</xdr:col>
          <xdr:colOff>952500</xdr:colOff>
          <xdr:row>6</xdr:row>
          <xdr:rowOff>228600</xdr:rowOff>
        </xdr:to>
        <xdr:sp macro="" textlink="">
          <xdr:nvSpPr>
            <xdr:cNvPr id="11367" name="Option Button 103" hidden="1">
              <a:extLst>
                <a:ext uri="{63B3BB69-23CF-44E3-9099-C40C66FF867C}">
                  <a14:compatExt spid="_x0000_s11367"/>
                </a:ext>
                <a:ext uri="{FF2B5EF4-FFF2-40B4-BE49-F238E27FC236}">
                  <a16:creationId xmlns:a16="http://schemas.microsoft.com/office/drawing/2014/main" id="{00000000-0008-0000-06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5</xdr:col>
          <xdr:colOff>0</xdr:colOff>
          <xdr:row>45</xdr:row>
          <xdr:rowOff>0</xdr:rowOff>
        </xdr:to>
        <xdr:sp macro="" textlink="">
          <xdr:nvSpPr>
            <xdr:cNvPr id="11368" name="Group Box 104" hidden="1">
              <a:extLst>
                <a:ext uri="{63B3BB69-23CF-44E3-9099-C40C66FF867C}">
                  <a14:compatExt spid="_x0000_s11368"/>
                </a:ext>
                <a:ext uri="{FF2B5EF4-FFF2-40B4-BE49-F238E27FC236}">
                  <a16:creationId xmlns:a16="http://schemas.microsoft.com/office/drawing/2014/main" id="{00000000-0008-0000-0600-00006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44</xdr:row>
          <xdr:rowOff>28575</xdr:rowOff>
        </xdr:from>
        <xdr:to>
          <xdr:col>3</xdr:col>
          <xdr:colOff>971550</xdr:colOff>
          <xdr:row>44</xdr:row>
          <xdr:rowOff>209550</xdr:rowOff>
        </xdr:to>
        <xdr:sp macro="" textlink="">
          <xdr:nvSpPr>
            <xdr:cNvPr id="11369" name="Option Button 105" hidden="1">
              <a:extLst>
                <a:ext uri="{63B3BB69-23CF-44E3-9099-C40C66FF867C}">
                  <a14:compatExt spid="_x0000_s11369"/>
                </a:ext>
                <a:ext uri="{FF2B5EF4-FFF2-40B4-BE49-F238E27FC236}">
                  <a16:creationId xmlns:a16="http://schemas.microsoft.com/office/drawing/2014/main" id="{00000000-0008-0000-06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44</xdr:row>
          <xdr:rowOff>28575</xdr:rowOff>
        </xdr:from>
        <xdr:to>
          <xdr:col>4</xdr:col>
          <xdr:colOff>885825</xdr:colOff>
          <xdr:row>44</xdr:row>
          <xdr:rowOff>219075</xdr:rowOff>
        </xdr:to>
        <xdr:sp macro="" textlink="">
          <xdr:nvSpPr>
            <xdr:cNvPr id="11370" name="Option Button 106" hidden="1">
              <a:extLst>
                <a:ext uri="{63B3BB69-23CF-44E3-9099-C40C66FF867C}">
                  <a14:compatExt spid="_x0000_s11370"/>
                </a:ext>
                <a:ext uri="{FF2B5EF4-FFF2-40B4-BE49-F238E27FC236}">
                  <a16:creationId xmlns:a16="http://schemas.microsoft.com/office/drawing/2014/main" id="{00000000-0008-0000-06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9525</xdr:rowOff>
        </xdr:from>
        <xdr:to>
          <xdr:col>5</xdr:col>
          <xdr:colOff>0</xdr:colOff>
          <xdr:row>46</xdr:row>
          <xdr:rowOff>0</xdr:rowOff>
        </xdr:to>
        <xdr:sp macro="" textlink="">
          <xdr:nvSpPr>
            <xdr:cNvPr id="11371" name="Group Box 107" hidden="1">
              <a:extLst>
                <a:ext uri="{63B3BB69-23CF-44E3-9099-C40C66FF867C}">
                  <a14:compatExt spid="_x0000_s11371"/>
                </a:ext>
                <a:ext uri="{FF2B5EF4-FFF2-40B4-BE49-F238E27FC236}">
                  <a16:creationId xmlns:a16="http://schemas.microsoft.com/office/drawing/2014/main" id="{00000000-0008-0000-06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45</xdr:row>
          <xdr:rowOff>38100</xdr:rowOff>
        </xdr:from>
        <xdr:to>
          <xdr:col>3</xdr:col>
          <xdr:colOff>942975</xdr:colOff>
          <xdr:row>45</xdr:row>
          <xdr:rowOff>209550</xdr:rowOff>
        </xdr:to>
        <xdr:sp macro="" textlink="">
          <xdr:nvSpPr>
            <xdr:cNvPr id="11372" name="Option Button 108" hidden="1">
              <a:extLst>
                <a:ext uri="{63B3BB69-23CF-44E3-9099-C40C66FF867C}">
                  <a14:compatExt spid="_x0000_s11372"/>
                </a:ext>
                <a:ext uri="{FF2B5EF4-FFF2-40B4-BE49-F238E27FC236}">
                  <a16:creationId xmlns:a16="http://schemas.microsoft.com/office/drawing/2014/main" id="{00000000-0008-0000-06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45</xdr:row>
          <xdr:rowOff>38100</xdr:rowOff>
        </xdr:from>
        <xdr:to>
          <xdr:col>4</xdr:col>
          <xdr:colOff>885825</xdr:colOff>
          <xdr:row>45</xdr:row>
          <xdr:rowOff>209550</xdr:rowOff>
        </xdr:to>
        <xdr:sp macro="" textlink="">
          <xdr:nvSpPr>
            <xdr:cNvPr id="11373" name="Option Button 109" hidden="1">
              <a:extLst>
                <a:ext uri="{63B3BB69-23CF-44E3-9099-C40C66FF867C}">
                  <a14:compatExt spid="_x0000_s11373"/>
                </a:ext>
                <a:ext uri="{FF2B5EF4-FFF2-40B4-BE49-F238E27FC236}">
                  <a16:creationId xmlns:a16="http://schemas.microsoft.com/office/drawing/2014/main" id="{00000000-0008-0000-06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46</xdr:row>
          <xdr:rowOff>19050</xdr:rowOff>
        </xdr:from>
        <xdr:to>
          <xdr:col>5</xdr:col>
          <xdr:colOff>0</xdr:colOff>
          <xdr:row>47</xdr:row>
          <xdr:rowOff>0</xdr:rowOff>
        </xdr:to>
        <xdr:sp macro="" textlink="">
          <xdr:nvSpPr>
            <xdr:cNvPr id="11374" name="Group Box 110" hidden="1">
              <a:extLst>
                <a:ext uri="{63B3BB69-23CF-44E3-9099-C40C66FF867C}">
                  <a14:compatExt spid="_x0000_s11374"/>
                </a:ext>
                <a:ext uri="{FF2B5EF4-FFF2-40B4-BE49-F238E27FC236}">
                  <a16:creationId xmlns:a16="http://schemas.microsoft.com/office/drawing/2014/main" id="{00000000-0008-0000-0600-00006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46</xdr:row>
          <xdr:rowOff>47625</xdr:rowOff>
        </xdr:from>
        <xdr:to>
          <xdr:col>4</xdr:col>
          <xdr:colOff>0</xdr:colOff>
          <xdr:row>46</xdr:row>
          <xdr:rowOff>238125</xdr:rowOff>
        </xdr:to>
        <xdr:sp macro="" textlink="">
          <xdr:nvSpPr>
            <xdr:cNvPr id="11375" name="Option Button 111" hidden="1">
              <a:extLst>
                <a:ext uri="{63B3BB69-23CF-44E3-9099-C40C66FF867C}">
                  <a14:compatExt spid="_x0000_s11375"/>
                </a:ext>
                <a:ext uri="{FF2B5EF4-FFF2-40B4-BE49-F238E27FC236}">
                  <a16:creationId xmlns:a16="http://schemas.microsoft.com/office/drawing/2014/main" id="{00000000-0008-0000-06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46</xdr:row>
          <xdr:rowOff>57150</xdr:rowOff>
        </xdr:from>
        <xdr:to>
          <xdr:col>4</xdr:col>
          <xdr:colOff>914400</xdr:colOff>
          <xdr:row>46</xdr:row>
          <xdr:rowOff>238125</xdr:rowOff>
        </xdr:to>
        <xdr:sp macro="" textlink="">
          <xdr:nvSpPr>
            <xdr:cNvPr id="11376" name="Option Button 112" hidden="1">
              <a:extLst>
                <a:ext uri="{63B3BB69-23CF-44E3-9099-C40C66FF867C}">
                  <a14:compatExt spid="_x0000_s11376"/>
                </a:ext>
                <a:ext uri="{FF2B5EF4-FFF2-40B4-BE49-F238E27FC236}">
                  <a16:creationId xmlns:a16="http://schemas.microsoft.com/office/drawing/2014/main" id="{00000000-0008-0000-06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9525</xdr:rowOff>
        </xdr:from>
        <xdr:to>
          <xdr:col>5</xdr:col>
          <xdr:colOff>0</xdr:colOff>
          <xdr:row>48</xdr:row>
          <xdr:rowOff>0</xdr:rowOff>
        </xdr:to>
        <xdr:sp macro="" textlink="">
          <xdr:nvSpPr>
            <xdr:cNvPr id="11377" name="Group Box 113" hidden="1">
              <a:extLst>
                <a:ext uri="{63B3BB69-23CF-44E3-9099-C40C66FF867C}">
                  <a14:compatExt spid="_x0000_s11377"/>
                </a:ext>
                <a:ext uri="{FF2B5EF4-FFF2-40B4-BE49-F238E27FC236}">
                  <a16:creationId xmlns:a16="http://schemas.microsoft.com/office/drawing/2014/main" id="{00000000-0008-0000-0600-00007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47</xdr:row>
          <xdr:rowOff>19050</xdr:rowOff>
        </xdr:from>
        <xdr:to>
          <xdr:col>3</xdr:col>
          <xdr:colOff>942975</xdr:colOff>
          <xdr:row>47</xdr:row>
          <xdr:rowOff>219075</xdr:rowOff>
        </xdr:to>
        <xdr:sp macro="" textlink="">
          <xdr:nvSpPr>
            <xdr:cNvPr id="11378" name="Option Button 114" hidden="1">
              <a:extLst>
                <a:ext uri="{63B3BB69-23CF-44E3-9099-C40C66FF867C}">
                  <a14:compatExt spid="_x0000_s11378"/>
                </a:ext>
                <a:ext uri="{FF2B5EF4-FFF2-40B4-BE49-F238E27FC236}">
                  <a16:creationId xmlns:a16="http://schemas.microsoft.com/office/drawing/2014/main" id="{00000000-0008-0000-06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47</xdr:row>
          <xdr:rowOff>28575</xdr:rowOff>
        </xdr:from>
        <xdr:to>
          <xdr:col>4</xdr:col>
          <xdr:colOff>885825</xdr:colOff>
          <xdr:row>47</xdr:row>
          <xdr:rowOff>219075</xdr:rowOff>
        </xdr:to>
        <xdr:sp macro="" textlink="">
          <xdr:nvSpPr>
            <xdr:cNvPr id="11379" name="Option Button 115" hidden="1">
              <a:extLst>
                <a:ext uri="{63B3BB69-23CF-44E3-9099-C40C66FF867C}">
                  <a14:compatExt spid="_x0000_s11379"/>
                </a:ext>
                <a:ext uri="{FF2B5EF4-FFF2-40B4-BE49-F238E27FC236}">
                  <a16:creationId xmlns:a16="http://schemas.microsoft.com/office/drawing/2014/main" id="{00000000-0008-0000-06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5</xdr:col>
          <xdr:colOff>0</xdr:colOff>
          <xdr:row>59</xdr:row>
          <xdr:rowOff>0</xdr:rowOff>
        </xdr:to>
        <xdr:sp macro="" textlink="">
          <xdr:nvSpPr>
            <xdr:cNvPr id="11380" name="Group Box 116" hidden="1">
              <a:extLst>
                <a:ext uri="{63B3BB69-23CF-44E3-9099-C40C66FF867C}">
                  <a14:compatExt spid="_x0000_s11380"/>
                </a:ext>
                <a:ext uri="{FF2B5EF4-FFF2-40B4-BE49-F238E27FC236}">
                  <a16:creationId xmlns:a16="http://schemas.microsoft.com/office/drawing/2014/main" id="{00000000-0008-0000-0600-00007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58</xdr:row>
          <xdr:rowOff>28575</xdr:rowOff>
        </xdr:from>
        <xdr:to>
          <xdr:col>3</xdr:col>
          <xdr:colOff>952500</xdr:colOff>
          <xdr:row>58</xdr:row>
          <xdr:rowOff>228600</xdr:rowOff>
        </xdr:to>
        <xdr:sp macro="" textlink="">
          <xdr:nvSpPr>
            <xdr:cNvPr id="11381" name="Option Button 117" hidden="1">
              <a:extLst>
                <a:ext uri="{63B3BB69-23CF-44E3-9099-C40C66FF867C}">
                  <a14:compatExt spid="_x0000_s11381"/>
                </a:ext>
                <a:ext uri="{FF2B5EF4-FFF2-40B4-BE49-F238E27FC236}">
                  <a16:creationId xmlns:a16="http://schemas.microsoft.com/office/drawing/2014/main" id="{00000000-0008-0000-06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58</xdr:row>
          <xdr:rowOff>38100</xdr:rowOff>
        </xdr:from>
        <xdr:to>
          <xdr:col>4</xdr:col>
          <xdr:colOff>876300</xdr:colOff>
          <xdr:row>58</xdr:row>
          <xdr:rowOff>228600</xdr:rowOff>
        </xdr:to>
        <xdr:sp macro="" textlink="">
          <xdr:nvSpPr>
            <xdr:cNvPr id="11382" name="Option Button 118" hidden="1">
              <a:extLst>
                <a:ext uri="{63B3BB69-23CF-44E3-9099-C40C66FF867C}">
                  <a14:compatExt spid="_x0000_s11382"/>
                </a:ext>
                <a:ext uri="{FF2B5EF4-FFF2-40B4-BE49-F238E27FC236}">
                  <a16:creationId xmlns:a16="http://schemas.microsoft.com/office/drawing/2014/main" id="{00000000-0008-0000-06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9525</xdr:rowOff>
        </xdr:from>
        <xdr:to>
          <xdr:col>5</xdr:col>
          <xdr:colOff>0</xdr:colOff>
          <xdr:row>60</xdr:row>
          <xdr:rowOff>0</xdr:rowOff>
        </xdr:to>
        <xdr:sp macro="" textlink="">
          <xdr:nvSpPr>
            <xdr:cNvPr id="11383" name="Group Box 119" hidden="1">
              <a:extLst>
                <a:ext uri="{63B3BB69-23CF-44E3-9099-C40C66FF867C}">
                  <a14:compatExt spid="_x0000_s11383"/>
                </a:ext>
                <a:ext uri="{FF2B5EF4-FFF2-40B4-BE49-F238E27FC236}">
                  <a16:creationId xmlns:a16="http://schemas.microsoft.com/office/drawing/2014/main" id="{00000000-0008-0000-0600-00007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59</xdr:row>
          <xdr:rowOff>19050</xdr:rowOff>
        </xdr:from>
        <xdr:to>
          <xdr:col>3</xdr:col>
          <xdr:colOff>962025</xdr:colOff>
          <xdr:row>59</xdr:row>
          <xdr:rowOff>209550</xdr:rowOff>
        </xdr:to>
        <xdr:sp macro="" textlink="">
          <xdr:nvSpPr>
            <xdr:cNvPr id="11384" name="Option Button 120" hidden="1">
              <a:extLst>
                <a:ext uri="{63B3BB69-23CF-44E3-9099-C40C66FF867C}">
                  <a14:compatExt spid="_x0000_s11384"/>
                </a:ext>
                <a:ext uri="{FF2B5EF4-FFF2-40B4-BE49-F238E27FC236}">
                  <a16:creationId xmlns:a16="http://schemas.microsoft.com/office/drawing/2014/main" id="{00000000-0008-0000-06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59</xdr:row>
          <xdr:rowOff>19050</xdr:rowOff>
        </xdr:from>
        <xdr:to>
          <xdr:col>4</xdr:col>
          <xdr:colOff>866775</xdr:colOff>
          <xdr:row>59</xdr:row>
          <xdr:rowOff>209550</xdr:rowOff>
        </xdr:to>
        <xdr:sp macro="" textlink="">
          <xdr:nvSpPr>
            <xdr:cNvPr id="11385" name="Option Button 121" hidden="1">
              <a:extLst>
                <a:ext uri="{63B3BB69-23CF-44E3-9099-C40C66FF867C}">
                  <a14:compatExt spid="_x0000_s11385"/>
                </a:ext>
                <a:ext uri="{FF2B5EF4-FFF2-40B4-BE49-F238E27FC236}">
                  <a16:creationId xmlns:a16="http://schemas.microsoft.com/office/drawing/2014/main" id="{00000000-0008-0000-06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9525</xdr:rowOff>
        </xdr:from>
        <xdr:to>
          <xdr:col>5</xdr:col>
          <xdr:colOff>0</xdr:colOff>
          <xdr:row>61</xdr:row>
          <xdr:rowOff>0</xdr:rowOff>
        </xdr:to>
        <xdr:sp macro="" textlink="">
          <xdr:nvSpPr>
            <xdr:cNvPr id="11386" name="Group Box 122" hidden="1">
              <a:extLst>
                <a:ext uri="{63B3BB69-23CF-44E3-9099-C40C66FF867C}">
                  <a14:compatExt spid="_x0000_s11386"/>
                </a:ext>
                <a:ext uri="{FF2B5EF4-FFF2-40B4-BE49-F238E27FC236}">
                  <a16:creationId xmlns:a16="http://schemas.microsoft.com/office/drawing/2014/main" id="{00000000-0008-0000-0600-00007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60</xdr:row>
          <xdr:rowOff>28575</xdr:rowOff>
        </xdr:from>
        <xdr:to>
          <xdr:col>3</xdr:col>
          <xdr:colOff>962025</xdr:colOff>
          <xdr:row>60</xdr:row>
          <xdr:rowOff>228600</xdr:rowOff>
        </xdr:to>
        <xdr:sp macro="" textlink="">
          <xdr:nvSpPr>
            <xdr:cNvPr id="11387" name="Option Button 123" hidden="1">
              <a:extLst>
                <a:ext uri="{63B3BB69-23CF-44E3-9099-C40C66FF867C}">
                  <a14:compatExt spid="_x0000_s11387"/>
                </a:ext>
                <a:ext uri="{FF2B5EF4-FFF2-40B4-BE49-F238E27FC236}">
                  <a16:creationId xmlns:a16="http://schemas.microsoft.com/office/drawing/2014/main" id="{00000000-0008-0000-06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60</xdr:row>
          <xdr:rowOff>28575</xdr:rowOff>
        </xdr:from>
        <xdr:to>
          <xdr:col>4</xdr:col>
          <xdr:colOff>857250</xdr:colOff>
          <xdr:row>60</xdr:row>
          <xdr:rowOff>228600</xdr:rowOff>
        </xdr:to>
        <xdr:sp macro="" textlink="">
          <xdr:nvSpPr>
            <xdr:cNvPr id="11388" name="Option Button 124" hidden="1">
              <a:extLst>
                <a:ext uri="{63B3BB69-23CF-44E3-9099-C40C66FF867C}">
                  <a14:compatExt spid="_x0000_s11388"/>
                </a:ext>
                <a:ext uri="{FF2B5EF4-FFF2-40B4-BE49-F238E27FC236}">
                  <a16:creationId xmlns:a16="http://schemas.microsoft.com/office/drawing/2014/main" id="{00000000-0008-0000-06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9525</xdr:rowOff>
        </xdr:from>
        <xdr:to>
          <xdr:col>5</xdr:col>
          <xdr:colOff>0</xdr:colOff>
          <xdr:row>62</xdr:row>
          <xdr:rowOff>0</xdr:rowOff>
        </xdr:to>
        <xdr:sp macro="" textlink="">
          <xdr:nvSpPr>
            <xdr:cNvPr id="11389" name="Group Box 125" hidden="1">
              <a:extLst>
                <a:ext uri="{63B3BB69-23CF-44E3-9099-C40C66FF867C}">
                  <a14:compatExt spid="_x0000_s11389"/>
                </a:ext>
                <a:ext uri="{FF2B5EF4-FFF2-40B4-BE49-F238E27FC236}">
                  <a16:creationId xmlns:a16="http://schemas.microsoft.com/office/drawing/2014/main" id="{00000000-0008-0000-0600-00007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61</xdr:row>
          <xdr:rowOff>28575</xdr:rowOff>
        </xdr:from>
        <xdr:to>
          <xdr:col>4</xdr:col>
          <xdr:colOff>0</xdr:colOff>
          <xdr:row>61</xdr:row>
          <xdr:rowOff>219075</xdr:rowOff>
        </xdr:to>
        <xdr:sp macro="" textlink="">
          <xdr:nvSpPr>
            <xdr:cNvPr id="11390" name="Option Button 126" hidden="1">
              <a:extLst>
                <a:ext uri="{63B3BB69-23CF-44E3-9099-C40C66FF867C}">
                  <a14:compatExt spid="_x0000_s11390"/>
                </a:ext>
                <a:ext uri="{FF2B5EF4-FFF2-40B4-BE49-F238E27FC236}">
                  <a16:creationId xmlns:a16="http://schemas.microsoft.com/office/drawing/2014/main" id="{00000000-0008-0000-06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61</xdr:row>
          <xdr:rowOff>28575</xdr:rowOff>
        </xdr:from>
        <xdr:to>
          <xdr:col>4</xdr:col>
          <xdr:colOff>866775</xdr:colOff>
          <xdr:row>61</xdr:row>
          <xdr:rowOff>228600</xdr:rowOff>
        </xdr:to>
        <xdr:sp macro="" textlink="">
          <xdr:nvSpPr>
            <xdr:cNvPr id="11391" name="Option Button 127" hidden="1">
              <a:extLst>
                <a:ext uri="{63B3BB69-23CF-44E3-9099-C40C66FF867C}">
                  <a14:compatExt spid="_x0000_s11391"/>
                </a:ext>
                <a:ext uri="{FF2B5EF4-FFF2-40B4-BE49-F238E27FC236}">
                  <a16:creationId xmlns:a16="http://schemas.microsoft.com/office/drawing/2014/main" id="{00000000-0008-0000-06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9525</xdr:rowOff>
        </xdr:from>
        <xdr:to>
          <xdr:col>5</xdr:col>
          <xdr:colOff>0</xdr:colOff>
          <xdr:row>63</xdr:row>
          <xdr:rowOff>0</xdr:rowOff>
        </xdr:to>
        <xdr:sp macro="" textlink="">
          <xdr:nvSpPr>
            <xdr:cNvPr id="11392" name="Group Box 128" hidden="1">
              <a:extLst>
                <a:ext uri="{63B3BB69-23CF-44E3-9099-C40C66FF867C}">
                  <a14:compatExt spid="_x0000_s11392"/>
                </a:ext>
                <a:ext uri="{FF2B5EF4-FFF2-40B4-BE49-F238E27FC236}">
                  <a16:creationId xmlns:a16="http://schemas.microsoft.com/office/drawing/2014/main" id="{00000000-0008-0000-0600-00008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62</xdr:row>
          <xdr:rowOff>28575</xdr:rowOff>
        </xdr:from>
        <xdr:to>
          <xdr:col>3</xdr:col>
          <xdr:colOff>962025</xdr:colOff>
          <xdr:row>62</xdr:row>
          <xdr:rowOff>228600</xdr:rowOff>
        </xdr:to>
        <xdr:sp macro="" textlink="">
          <xdr:nvSpPr>
            <xdr:cNvPr id="11393" name="Option Button 129" hidden="1">
              <a:extLst>
                <a:ext uri="{63B3BB69-23CF-44E3-9099-C40C66FF867C}">
                  <a14:compatExt spid="_x0000_s11393"/>
                </a:ext>
                <a:ext uri="{FF2B5EF4-FFF2-40B4-BE49-F238E27FC236}">
                  <a16:creationId xmlns:a16="http://schemas.microsoft.com/office/drawing/2014/main" id="{00000000-0008-0000-06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62</xdr:row>
          <xdr:rowOff>38100</xdr:rowOff>
        </xdr:from>
        <xdr:to>
          <xdr:col>4</xdr:col>
          <xdr:colOff>876300</xdr:colOff>
          <xdr:row>62</xdr:row>
          <xdr:rowOff>228600</xdr:rowOff>
        </xdr:to>
        <xdr:sp macro="" textlink="">
          <xdr:nvSpPr>
            <xdr:cNvPr id="11394" name="Option Button 130" hidden="1">
              <a:extLst>
                <a:ext uri="{63B3BB69-23CF-44E3-9099-C40C66FF867C}">
                  <a14:compatExt spid="_x0000_s11394"/>
                </a:ext>
                <a:ext uri="{FF2B5EF4-FFF2-40B4-BE49-F238E27FC236}">
                  <a16:creationId xmlns:a16="http://schemas.microsoft.com/office/drawing/2014/main" id="{00000000-0008-0000-06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6</xdr:row>
          <xdr:rowOff>19050</xdr:rowOff>
        </xdr:from>
        <xdr:to>
          <xdr:col>2</xdr:col>
          <xdr:colOff>1200150</xdr:colOff>
          <xdr:row>6</xdr:row>
          <xdr:rowOff>228600</xdr:rowOff>
        </xdr:to>
        <xdr:sp macro="" textlink="">
          <xdr:nvSpPr>
            <xdr:cNvPr id="15361" name="Drop Down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xdr:row>
          <xdr:rowOff>19050</xdr:rowOff>
        </xdr:from>
        <xdr:to>
          <xdr:col>2</xdr:col>
          <xdr:colOff>1200150</xdr:colOff>
          <xdr:row>7</xdr:row>
          <xdr:rowOff>228600</xdr:rowOff>
        </xdr:to>
        <xdr:sp macro="" textlink="">
          <xdr:nvSpPr>
            <xdr:cNvPr id="15362" name="Drop Down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51</xdr:row>
          <xdr:rowOff>38100</xdr:rowOff>
        </xdr:from>
        <xdr:to>
          <xdr:col>2</xdr:col>
          <xdr:colOff>790575</xdr:colOff>
          <xdr:row>51</xdr:row>
          <xdr:rowOff>314325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52</xdr:row>
          <xdr:rowOff>66675</xdr:rowOff>
        </xdr:from>
        <xdr:to>
          <xdr:col>2</xdr:col>
          <xdr:colOff>781050</xdr:colOff>
          <xdr:row>52</xdr:row>
          <xdr:rowOff>285750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9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10</xdr:row>
          <xdr:rowOff>28575</xdr:rowOff>
        </xdr:from>
        <xdr:to>
          <xdr:col>2</xdr:col>
          <xdr:colOff>733425</xdr:colOff>
          <xdr:row>11</xdr:row>
          <xdr:rowOff>9525</xdr:rowOff>
        </xdr:to>
        <xdr:sp macro="" textlink="">
          <xdr:nvSpPr>
            <xdr:cNvPr id="15365" name="Option Button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10</xdr:row>
          <xdr:rowOff>238125</xdr:rowOff>
        </xdr:from>
        <xdr:to>
          <xdr:col>2</xdr:col>
          <xdr:colOff>752475</xdr:colOff>
          <xdr:row>11</xdr:row>
          <xdr:rowOff>209550</xdr:rowOff>
        </xdr:to>
        <xdr:sp macro="" textlink="">
          <xdr:nvSpPr>
            <xdr:cNvPr id="15366" name="Option Button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1238250</xdr:colOff>
          <xdr:row>12</xdr:row>
          <xdr:rowOff>0</xdr:rowOff>
        </xdr:to>
        <xdr:sp macro="" textlink="">
          <xdr:nvSpPr>
            <xdr:cNvPr id="15367" name="Group Box 7"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54</xdr:row>
          <xdr:rowOff>66675</xdr:rowOff>
        </xdr:from>
        <xdr:to>
          <xdr:col>2</xdr:col>
          <xdr:colOff>752475</xdr:colOff>
          <xdr:row>54</xdr:row>
          <xdr:rowOff>295275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55</xdr:row>
          <xdr:rowOff>66675</xdr:rowOff>
        </xdr:from>
        <xdr:to>
          <xdr:col>2</xdr:col>
          <xdr:colOff>685800</xdr:colOff>
          <xdr:row>55</xdr:row>
          <xdr:rowOff>285750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56</xdr:row>
          <xdr:rowOff>95250</xdr:rowOff>
        </xdr:from>
        <xdr:to>
          <xdr:col>2</xdr:col>
          <xdr:colOff>676275</xdr:colOff>
          <xdr:row>56</xdr:row>
          <xdr:rowOff>266700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28575</xdr:rowOff>
        </xdr:from>
        <xdr:to>
          <xdr:col>2</xdr:col>
          <xdr:colOff>1209675</xdr:colOff>
          <xdr:row>15</xdr:row>
          <xdr:rowOff>228600</xdr:rowOff>
        </xdr:to>
        <xdr:sp macro="" textlink="">
          <xdr:nvSpPr>
            <xdr:cNvPr id="15371" name="Drop Down 11" hidden="1">
              <a:extLst>
                <a:ext uri="{63B3BB69-23CF-44E3-9099-C40C66FF867C}">
                  <a14:compatExt spid="_x0000_s15371"/>
                </a:ext>
                <a:ext uri="{FF2B5EF4-FFF2-40B4-BE49-F238E27FC236}">
                  <a16:creationId xmlns:a16="http://schemas.microsoft.com/office/drawing/2014/main" id="{00000000-0008-0000-0900-00000B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28575</xdr:rowOff>
        </xdr:from>
        <xdr:to>
          <xdr:col>2</xdr:col>
          <xdr:colOff>1209675</xdr:colOff>
          <xdr:row>16</xdr:row>
          <xdr:rowOff>228600</xdr:rowOff>
        </xdr:to>
        <xdr:sp macro="" textlink="">
          <xdr:nvSpPr>
            <xdr:cNvPr id="15372" name="Drop Down 12" hidden="1">
              <a:extLst>
                <a:ext uri="{63B3BB69-23CF-44E3-9099-C40C66FF867C}">
                  <a14:compatExt spid="_x0000_s15372"/>
                </a:ext>
                <a:ext uri="{FF2B5EF4-FFF2-40B4-BE49-F238E27FC236}">
                  <a16:creationId xmlns:a16="http://schemas.microsoft.com/office/drawing/2014/main" id="{00000000-0008-0000-0900-00000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28575</xdr:rowOff>
        </xdr:from>
        <xdr:to>
          <xdr:col>2</xdr:col>
          <xdr:colOff>1209675</xdr:colOff>
          <xdr:row>17</xdr:row>
          <xdr:rowOff>228600</xdr:rowOff>
        </xdr:to>
        <xdr:sp macro="" textlink="">
          <xdr:nvSpPr>
            <xdr:cNvPr id="15373" name="Drop Down 13" hidden="1">
              <a:extLst>
                <a:ext uri="{63B3BB69-23CF-44E3-9099-C40C66FF867C}">
                  <a14:compatExt spid="_x0000_s15373"/>
                </a:ext>
                <a:ext uri="{FF2B5EF4-FFF2-40B4-BE49-F238E27FC236}">
                  <a16:creationId xmlns:a16="http://schemas.microsoft.com/office/drawing/2014/main" id="{00000000-0008-0000-0900-00000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18</xdr:row>
          <xdr:rowOff>28575</xdr:rowOff>
        </xdr:from>
        <xdr:to>
          <xdr:col>2</xdr:col>
          <xdr:colOff>1209675</xdr:colOff>
          <xdr:row>18</xdr:row>
          <xdr:rowOff>228600</xdr:rowOff>
        </xdr:to>
        <xdr:sp macro="" textlink="">
          <xdr:nvSpPr>
            <xdr:cNvPr id="15374" name="Drop Down 14" hidden="1">
              <a:extLst>
                <a:ext uri="{63B3BB69-23CF-44E3-9099-C40C66FF867C}">
                  <a14:compatExt spid="_x0000_s15374"/>
                </a:ext>
                <a:ext uri="{FF2B5EF4-FFF2-40B4-BE49-F238E27FC236}">
                  <a16:creationId xmlns:a16="http://schemas.microsoft.com/office/drawing/2014/main" id="{00000000-0008-0000-0900-00000E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28575</xdr:rowOff>
        </xdr:from>
        <xdr:to>
          <xdr:col>2</xdr:col>
          <xdr:colOff>1200150</xdr:colOff>
          <xdr:row>24</xdr:row>
          <xdr:rowOff>228600</xdr:rowOff>
        </xdr:to>
        <xdr:sp macro="" textlink="">
          <xdr:nvSpPr>
            <xdr:cNvPr id="15375" name="Drop Down 15" hidden="1">
              <a:extLst>
                <a:ext uri="{63B3BB69-23CF-44E3-9099-C40C66FF867C}">
                  <a14:compatExt spid="_x0000_s15375"/>
                </a:ext>
                <a:ext uri="{FF2B5EF4-FFF2-40B4-BE49-F238E27FC236}">
                  <a16:creationId xmlns:a16="http://schemas.microsoft.com/office/drawing/2014/main" id="{00000000-0008-0000-0900-00000F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51</xdr:row>
          <xdr:rowOff>114300</xdr:rowOff>
        </xdr:from>
        <xdr:to>
          <xdr:col>4</xdr:col>
          <xdr:colOff>514350</xdr:colOff>
          <xdr:row>51</xdr:row>
          <xdr:rowOff>314325</xdr:rowOff>
        </xdr:to>
        <xdr:sp macro="" textlink="">
          <xdr:nvSpPr>
            <xdr:cNvPr id="15376" name="Drop Down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52</xdr:row>
          <xdr:rowOff>85725</xdr:rowOff>
        </xdr:from>
        <xdr:to>
          <xdr:col>4</xdr:col>
          <xdr:colOff>504825</xdr:colOff>
          <xdr:row>52</xdr:row>
          <xdr:rowOff>285750</xdr:rowOff>
        </xdr:to>
        <xdr:sp macro="" textlink="">
          <xdr:nvSpPr>
            <xdr:cNvPr id="15377" name="Drop Down 17" hidden="1">
              <a:extLst>
                <a:ext uri="{63B3BB69-23CF-44E3-9099-C40C66FF867C}">
                  <a14:compatExt spid="_x0000_s15377"/>
                </a:ext>
                <a:ext uri="{FF2B5EF4-FFF2-40B4-BE49-F238E27FC236}">
                  <a16:creationId xmlns:a16="http://schemas.microsoft.com/office/drawing/2014/main" id="{00000000-0008-0000-0900-00001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53</xdr:row>
          <xdr:rowOff>66675</xdr:rowOff>
        </xdr:from>
        <xdr:to>
          <xdr:col>2</xdr:col>
          <xdr:colOff>790575</xdr:colOff>
          <xdr:row>53</xdr:row>
          <xdr:rowOff>295275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9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581025</xdr:colOff>
          <xdr:row>53</xdr:row>
          <xdr:rowOff>85725</xdr:rowOff>
        </xdr:from>
        <xdr:to>
          <xdr:col>4</xdr:col>
          <xdr:colOff>504825</xdr:colOff>
          <xdr:row>53</xdr:row>
          <xdr:rowOff>285750</xdr:rowOff>
        </xdr:to>
        <xdr:sp macro="" textlink="">
          <xdr:nvSpPr>
            <xdr:cNvPr id="15379" name="Drop Down 19" hidden="1">
              <a:extLst>
                <a:ext uri="{63B3BB69-23CF-44E3-9099-C40C66FF867C}">
                  <a14:compatExt spid="_x0000_s15379"/>
                </a:ext>
                <a:ext uri="{FF2B5EF4-FFF2-40B4-BE49-F238E27FC236}">
                  <a16:creationId xmlns:a16="http://schemas.microsoft.com/office/drawing/2014/main" id="{00000000-0008-0000-0900-00001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10</xdr:col>
          <xdr:colOff>0</xdr:colOff>
          <xdr:row>5</xdr:row>
          <xdr:rowOff>0</xdr:rowOff>
        </xdr:to>
        <xdr:sp macro="" textlink="">
          <xdr:nvSpPr>
            <xdr:cNvPr id="15381" name="Group Box 21" hidden="1">
              <a:extLst>
                <a:ext uri="{63B3BB69-23CF-44E3-9099-C40C66FF867C}">
                  <a14:compatExt spid="_x0000_s15381"/>
                </a:ext>
                <a:ext uri="{FF2B5EF4-FFF2-40B4-BE49-F238E27FC236}">
                  <a16:creationId xmlns:a16="http://schemas.microsoft.com/office/drawing/2014/main" id="{00000000-0008-0000-0900-000015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666750</xdr:colOff>
          <xdr:row>4</xdr:row>
          <xdr:rowOff>28575</xdr:rowOff>
        </xdr:from>
        <xdr:to>
          <xdr:col>7</xdr:col>
          <xdr:colOff>866775</xdr:colOff>
          <xdr:row>4</xdr:row>
          <xdr:rowOff>209550</xdr:rowOff>
        </xdr:to>
        <xdr:sp macro="" textlink="">
          <xdr:nvSpPr>
            <xdr:cNvPr id="15382" name="Option Button 22" hidden="1">
              <a:extLst>
                <a:ext uri="{63B3BB69-23CF-44E3-9099-C40C66FF867C}">
                  <a14:compatExt spid="_x0000_s15382"/>
                </a:ext>
                <a:ext uri="{FF2B5EF4-FFF2-40B4-BE49-F238E27FC236}">
                  <a16:creationId xmlns:a16="http://schemas.microsoft.com/office/drawing/2014/main" id="{00000000-0008-0000-09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4</xdr:row>
          <xdr:rowOff>38100</xdr:rowOff>
        </xdr:from>
        <xdr:to>
          <xdr:col>9</xdr:col>
          <xdr:colOff>695325</xdr:colOff>
          <xdr:row>4</xdr:row>
          <xdr:rowOff>209550</xdr:rowOff>
        </xdr:to>
        <xdr:sp macro="" textlink="">
          <xdr:nvSpPr>
            <xdr:cNvPr id="15383" name="Option Button 23" hidden="1">
              <a:extLst>
                <a:ext uri="{63B3BB69-23CF-44E3-9099-C40C66FF867C}">
                  <a14:compatExt spid="_x0000_s15383"/>
                </a:ext>
                <a:ext uri="{FF2B5EF4-FFF2-40B4-BE49-F238E27FC236}">
                  <a16:creationId xmlns:a16="http://schemas.microsoft.com/office/drawing/2014/main" id="{00000000-0008-0000-09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28575</xdr:rowOff>
        </xdr:from>
        <xdr:to>
          <xdr:col>2</xdr:col>
          <xdr:colOff>1200150</xdr:colOff>
          <xdr:row>3</xdr:row>
          <xdr:rowOff>228600</xdr:rowOff>
        </xdr:to>
        <xdr:sp macro="" textlink="">
          <xdr:nvSpPr>
            <xdr:cNvPr id="15384" name="Drop Down 24" hidden="1">
              <a:extLst>
                <a:ext uri="{63B3BB69-23CF-44E3-9099-C40C66FF867C}">
                  <a14:compatExt spid="_x0000_s15384"/>
                </a:ext>
                <a:ext uri="{FF2B5EF4-FFF2-40B4-BE49-F238E27FC236}">
                  <a16:creationId xmlns:a16="http://schemas.microsoft.com/office/drawing/2014/main" id="{00000000-0008-0000-0900-000018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876300</xdr:colOff>
          <xdr:row>17</xdr:row>
          <xdr:rowOff>0</xdr:rowOff>
        </xdr:from>
        <xdr:to>
          <xdr:col>7</xdr:col>
          <xdr:colOff>0</xdr:colOff>
          <xdr:row>19</xdr:row>
          <xdr:rowOff>0</xdr:rowOff>
        </xdr:to>
        <xdr:sp macro="" textlink="">
          <xdr:nvSpPr>
            <xdr:cNvPr id="15385" name="Group Box 25" hidden="1">
              <a:extLst>
                <a:ext uri="{63B3BB69-23CF-44E3-9099-C40C66FF867C}">
                  <a14:compatExt spid="_x0000_s15385"/>
                </a:ext>
                <a:ext uri="{FF2B5EF4-FFF2-40B4-BE49-F238E27FC236}">
                  <a16:creationId xmlns:a16="http://schemas.microsoft.com/office/drawing/2014/main" id="{00000000-0008-0000-0900-000019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809625</xdr:colOff>
          <xdr:row>18</xdr:row>
          <xdr:rowOff>9525</xdr:rowOff>
        </xdr:from>
        <xdr:to>
          <xdr:col>4</xdr:col>
          <xdr:colOff>1038225</xdr:colOff>
          <xdr:row>18</xdr:row>
          <xdr:rowOff>200025</xdr:rowOff>
        </xdr:to>
        <xdr:sp macro="" textlink="">
          <xdr:nvSpPr>
            <xdr:cNvPr id="15386" name="Option Button 26" hidden="1">
              <a:extLst>
                <a:ext uri="{63B3BB69-23CF-44E3-9099-C40C66FF867C}">
                  <a14:compatExt spid="_x0000_s15386"/>
                </a:ext>
                <a:ext uri="{FF2B5EF4-FFF2-40B4-BE49-F238E27FC236}">
                  <a16:creationId xmlns:a16="http://schemas.microsoft.com/office/drawing/2014/main" id="{00000000-0008-0000-09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1228725</xdr:colOff>
          <xdr:row>18</xdr:row>
          <xdr:rowOff>38100</xdr:rowOff>
        </xdr:from>
        <xdr:to>
          <xdr:col>5</xdr:col>
          <xdr:colOff>1419225</xdr:colOff>
          <xdr:row>18</xdr:row>
          <xdr:rowOff>200025</xdr:rowOff>
        </xdr:to>
        <xdr:sp macro="" textlink="">
          <xdr:nvSpPr>
            <xdr:cNvPr id="15387" name="Option Button 27" hidden="1">
              <a:extLst>
                <a:ext uri="{63B3BB69-23CF-44E3-9099-C40C66FF867C}">
                  <a14:compatExt spid="_x0000_s15387"/>
                </a:ext>
                <a:ext uri="{FF2B5EF4-FFF2-40B4-BE49-F238E27FC236}">
                  <a16:creationId xmlns:a16="http://schemas.microsoft.com/office/drawing/2014/main" id="{00000000-0008-0000-09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2</xdr:col>
          <xdr:colOff>1190625</xdr:colOff>
          <xdr:row>14</xdr:row>
          <xdr:rowOff>219075</xdr:rowOff>
        </xdr:to>
        <xdr:sp macro="" textlink="">
          <xdr:nvSpPr>
            <xdr:cNvPr id="15388" name="Drop Down 28" hidden="1">
              <a:extLst>
                <a:ext uri="{63B3BB69-23CF-44E3-9099-C40C66FF867C}">
                  <a14:compatExt spid="_x0000_s15388"/>
                </a:ext>
                <a:ext uri="{FF2B5EF4-FFF2-40B4-BE49-F238E27FC236}">
                  <a16:creationId xmlns:a16="http://schemas.microsoft.com/office/drawing/2014/main" id="{00000000-0008-0000-0900-00001C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19050</xdr:rowOff>
        </xdr:from>
        <xdr:to>
          <xdr:col>2</xdr:col>
          <xdr:colOff>1190625</xdr:colOff>
          <xdr:row>25</xdr:row>
          <xdr:rowOff>209550</xdr:rowOff>
        </xdr:to>
        <xdr:sp macro="" textlink="">
          <xdr:nvSpPr>
            <xdr:cNvPr id="15389" name="Drop Down 29" hidden="1">
              <a:extLst>
                <a:ext uri="{63B3BB69-23CF-44E3-9099-C40C66FF867C}">
                  <a14:compatExt spid="_x0000_s15389"/>
                </a:ext>
                <a:ext uri="{FF2B5EF4-FFF2-40B4-BE49-F238E27FC236}">
                  <a16:creationId xmlns:a16="http://schemas.microsoft.com/office/drawing/2014/main" id="{00000000-0008-0000-0900-00001D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19050</xdr:rowOff>
        </xdr:from>
        <xdr:to>
          <xdr:col>2</xdr:col>
          <xdr:colOff>1209675</xdr:colOff>
          <xdr:row>21</xdr:row>
          <xdr:rowOff>219075</xdr:rowOff>
        </xdr:to>
        <xdr:sp macro="" textlink="">
          <xdr:nvSpPr>
            <xdr:cNvPr id="15390" name="Drop Down 30" hidden="1">
              <a:extLst>
                <a:ext uri="{63B3BB69-23CF-44E3-9099-C40C66FF867C}">
                  <a14:compatExt spid="_x0000_s15390"/>
                </a:ext>
                <a:ext uri="{FF2B5EF4-FFF2-40B4-BE49-F238E27FC236}">
                  <a16:creationId xmlns:a16="http://schemas.microsoft.com/office/drawing/2014/main" id="{00000000-0008-0000-0900-00001E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28575</xdr:rowOff>
        </xdr:from>
        <xdr:to>
          <xdr:col>2</xdr:col>
          <xdr:colOff>1181100</xdr:colOff>
          <xdr:row>22</xdr:row>
          <xdr:rowOff>228600</xdr:rowOff>
        </xdr:to>
        <xdr:sp macro="" textlink="">
          <xdr:nvSpPr>
            <xdr:cNvPr id="15391" name="Drop Down 31" hidden="1">
              <a:extLst>
                <a:ext uri="{63B3BB69-23CF-44E3-9099-C40C66FF867C}">
                  <a14:compatExt spid="_x0000_s15391"/>
                </a:ext>
                <a:ext uri="{FF2B5EF4-FFF2-40B4-BE49-F238E27FC236}">
                  <a16:creationId xmlns:a16="http://schemas.microsoft.com/office/drawing/2014/main" id="{00000000-0008-0000-0900-00001F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57</xdr:row>
          <xdr:rowOff>95250</xdr:rowOff>
        </xdr:from>
        <xdr:to>
          <xdr:col>2</xdr:col>
          <xdr:colOff>676275</xdr:colOff>
          <xdr:row>57</xdr:row>
          <xdr:rowOff>266700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9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54</xdr:row>
          <xdr:rowOff>95250</xdr:rowOff>
        </xdr:from>
        <xdr:to>
          <xdr:col>5</xdr:col>
          <xdr:colOff>1466850</xdr:colOff>
          <xdr:row>54</xdr:row>
          <xdr:rowOff>295275</xdr:rowOff>
        </xdr:to>
        <xdr:sp macro="" textlink="">
          <xdr:nvSpPr>
            <xdr:cNvPr id="15394" name="Drop Down 34" hidden="1">
              <a:extLst>
                <a:ext uri="{63B3BB69-23CF-44E3-9099-C40C66FF867C}">
                  <a14:compatExt spid="_x0000_s15394"/>
                </a:ext>
                <a:ext uri="{FF2B5EF4-FFF2-40B4-BE49-F238E27FC236}">
                  <a16:creationId xmlns:a16="http://schemas.microsoft.com/office/drawing/2014/main" id="{00000000-0008-0000-0900-00002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51</xdr:row>
          <xdr:rowOff>114300</xdr:rowOff>
        </xdr:from>
        <xdr:to>
          <xdr:col>5</xdr:col>
          <xdr:colOff>1438275</xdr:colOff>
          <xdr:row>51</xdr:row>
          <xdr:rowOff>314325</xdr:rowOff>
        </xdr:to>
        <xdr:sp macro="" textlink="">
          <xdr:nvSpPr>
            <xdr:cNvPr id="15395" name="Drop Down 35" hidden="1">
              <a:extLst>
                <a:ext uri="{63B3BB69-23CF-44E3-9099-C40C66FF867C}">
                  <a14:compatExt spid="_x0000_s15395"/>
                </a:ext>
                <a:ext uri="{FF2B5EF4-FFF2-40B4-BE49-F238E27FC236}">
                  <a16:creationId xmlns:a16="http://schemas.microsoft.com/office/drawing/2014/main" id="{00000000-0008-0000-0900-00002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19050</xdr:rowOff>
        </xdr:from>
        <xdr:to>
          <xdr:col>2</xdr:col>
          <xdr:colOff>1190625</xdr:colOff>
          <xdr:row>20</xdr:row>
          <xdr:rowOff>219075</xdr:rowOff>
        </xdr:to>
        <xdr:sp macro="" textlink="">
          <xdr:nvSpPr>
            <xdr:cNvPr id="15396" name="Drop Down 36" hidden="1">
              <a:extLst>
                <a:ext uri="{63B3BB69-23CF-44E3-9099-C40C66FF867C}">
                  <a14:compatExt spid="_x0000_s15396"/>
                </a:ext>
                <a:ext uri="{FF2B5EF4-FFF2-40B4-BE49-F238E27FC236}">
                  <a16:creationId xmlns:a16="http://schemas.microsoft.com/office/drawing/2014/main" id="{00000000-0008-0000-0900-00002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428625</xdr:colOff>
          <xdr:row>60</xdr:row>
          <xdr:rowOff>95250</xdr:rowOff>
        </xdr:from>
        <xdr:to>
          <xdr:col>4</xdr:col>
          <xdr:colOff>638175</xdr:colOff>
          <xdr:row>61</xdr:row>
          <xdr:rowOff>104775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9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20</xdr:row>
          <xdr:rowOff>9525</xdr:rowOff>
        </xdr:from>
        <xdr:to>
          <xdr:col>5</xdr:col>
          <xdr:colOff>0</xdr:colOff>
          <xdr:row>21</xdr:row>
          <xdr:rowOff>0</xdr:rowOff>
        </xdr:to>
        <xdr:sp macro="" textlink="">
          <xdr:nvSpPr>
            <xdr:cNvPr id="16385" name="Group Box 1" hidden="1">
              <a:extLst>
                <a:ext uri="{63B3BB69-23CF-44E3-9099-C40C66FF867C}">
                  <a14:compatExt spid="_x0000_s16385"/>
                </a:ext>
                <a:ext uri="{FF2B5EF4-FFF2-40B4-BE49-F238E27FC236}">
                  <a16:creationId xmlns:a16="http://schemas.microsoft.com/office/drawing/2014/main" id="{00000000-0008-0000-0A00-00000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20</xdr:row>
          <xdr:rowOff>47625</xdr:rowOff>
        </xdr:from>
        <xdr:to>
          <xdr:col>3</xdr:col>
          <xdr:colOff>933450</xdr:colOff>
          <xdr:row>20</xdr:row>
          <xdr:rowOff>190500</xdr:rowOff>
        </xdr:to>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20</xdr:row>
          <xdr:rowOff>38100</xdr:rowOff>
        </xdr:from>
        <xdr:to>
          <xdr:col>4</xdr:col>
          <xdr:colOff>904875</xdr:colOff>
          <xdr:row>21</xdr:row>
          <xdr:rowOff>0</xdr:rowOff>
        </xdr:to>
        <xdr:sp macro="" textlink="">
          <xdr:nvSpPr>
            <xdr:cNvPr id="16387" name="Option Button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9525</xdr:rowOff>
        </xdr:from>
        <xdr:to>
          <xdr:col>5</xdr:col>
          <xdr:colOff>0</xdr:colOff>
          <xdr:row>22</xdr:row>
          <xdr:rowOff>238125</xdr:rowOff>
        </xdr:to>
        <xdr:sp macro="" textlink="">
          <xdr:nvSpPr>
            <xdr:cNvPr id="16388" name="Group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22</xdr:row>
          <xdr:rowOff>19050</xdr:rowOff>
        </xdr:from>
        <xdr:to>
          <xdr:col>4</xdr:col>
          <xdr:colOff>0</xdr:colOff>
          <xdr:row>22</xdr:row>
          <xdr:rowOff>200025</xdr:rowOff>
        </xdr:to>
        <xdr:sp macro="" textlink="">
          <xdr:nvSpPr>
            <xdr:cNvPr id="16389" name="Option Button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22</xdr:row>
          <xdr:rowOff>19050</xdr:rowOff>
        </xdr:from>
        <xdr:to>
          <xdr:col>4</xdr:col>
          <xdr:colOff>914400</xdr:colOff>
          <xdr:row>22</xdr:row>
          <xdr:rowOff>200025</xdr:rowOff>
        </xdr:to>
        <xdr:sp macro="" textlink="">
          <xdr:nvSpPr>
            <xdr:cNvPr id="16390" name="Option Button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119</xdr:row>
          <xdr:rowOff>9525</xdr:rowOff>
        </xdr:from>
        <xdr:to>
          <xdr:col>5</xdr:col>
          <xdr:colOff>0</xdr:colOff>
          <xdr:row>120</xdr:row>
          <xdr:rowOff>0</xdr:rowOff>
        </xdr:to>
        <xdr:sp macro="" textlink="">
          <xdr:nvSpPr>
            <xdr:cNvPr id="16391" name="Group Box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xdr:row>
          <xdr:rowOff>0</xdr:rowOff>
        </xdr:from>
        <xdr:to>
          <xdr:col>5</xdr:col>
          <xdr:colOff>0</xdr:colOff>
          <xdr:row>9</xdr:row>
          <xdr:rowOff>0</xdr:rowOff>
        </xdr:to>
        <xdr:sp macro="" textlink="">
          <xdr:nvSpPr>
            <xdr:cNvPr id="16392" name="Group Box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8</xdr:row>
          <xdr:rowOff>38100</xdr:rowOff>
        </xdr:from>
        <xdr:to>
          <xdr:col>3</xdr:col>
          <xdr:colOff>895350</xdr:colOff>
          <xdr:row>8</xdr:row>
          <xdr:rowOff>200025</xdr:rowOff>
        </xdr:to>
        <xdr:sp macro="" textlink="">
          <xdr:nvSpPr>
            <xdr:cNvPr id="16393" name="Option Button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8</xdr:row>
          <xdr:rowOff>38100</xdr:rowOff>
        </xdr:from>
        <xdr:to>
          <xdr:col>4</xdr:col>
          <xdr:colOff>876300</xdr:colOff>
          <xdr:row>8</xdr:row>
          <xdr:rowOff>190500</xdr:rowOff>
        </xdr:to>
        <xdr:sp macro="" textlink="">
          <xdr:nvSpPr>
            <xdr:cNvPr id="16394" name="Option Button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9525</xdr:rowOff>
        </xdr:from>
        <xdr:to>
          <xdr:col>5</xdr:col>
          <xdr:colOff>0</xdr:colOff>
          <xdr:row>9</xdr:row>
          <xdr:rowOff>238125</xdr:rowOff>
        </xdr:to>
        <xdr:sp macro="" textlink="">
          <xdr:nvSpPr>
            <xdr:cNvPr id="16395" name="Group Box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9</xdr:row>
          <xdr:rowOff>57150</xdr:rowOff>
        </xdr:from>
        <xdr:to>
          <xdr:col>3</xdr:col>
          <xdr:colOff>933450</xdr:colOff>
          <xdr:row>9</xdr:row>
          <xdr:rowOff>209550</xdr:rowOff>
        </xdr:to>
        <xdr:sp macro="" textlink="">
          <xdr:nvSpPr>
            <xdr:cNvPr id="16396" name="Option Button 12" hidden="1">
              <a:extLst>
                <a:ext uri="{63B3BB69-23CF-44E3-9099-C40C66FF867C}">
                  <a14:compatExt spid="_x0000_s16396"/>
                </a:ext>
                <a:ext uri="{FF2B5EF4-FFF2-40B4-BE49-F238E27FC236}">
                  <a16:creationId xmlns:a16="http://schemas.microsoft.com/office/drawing/2014/main" id="{00000000-0008-0000-0A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9</xdr:row>
          <xdr:rowOff>38100</xdr:rowOff>
        </xdr:from>
        <xdr:to>
          <xdr:col>4</xdr:col>
          <xdr:colOff>914400</xdr:colOff>
          <xdr:row>9</xdr:row>
          <xdr:rowOff>200025</xdr:rowOff>
        </xdr:to>
        <xdr:sp macro="" textlink="">
          <xdr:nvSpPr>
            <xdr:cNvPr id="16397" name="Option Button 13" hidden="1">
              <a:extLst>
                <a:ext uri="{63B3BB69-23CF-44E3-9099-C40C66FF867C}">
                  <a14:compatExt spid="_x0000_s16397"/>
                </a:ext>
                <a:ext uri="{FF2B5EF4-FFF2-40B4-BE49-F238E27FC236}">
                  <a16:creationId xmlns:a16="http://schemas.microsoft.com/office/drawing/2014/main" id="{00000000-0008-0000-0A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11</xdr:row>
          <xdr:rowOff>9525</xdr:rowOff>
        </xdr:from>
        <xdr:to>
          <xdr:col>5</xdr:col>
          <xdr:colOff>0</xdr:colOff>
          <xdr:row>11</xdr:row>
          <xdr:rowOff>238125</xdr:rowOff>
        </xdr:to>
        <xdr:sp macro="" textlink="">
          <xdr:nvSpPr>
            <xdr:cNvPr id="16398" name="Group Box 14" hidden="1">
              <a:extLst>
                <a:ext uri="{63B3BB69-23CF-44E3-9099-C40C66FF867C}">
                  <a14:compatExt spid="_x0000_s16398"/>
                </a:ext>
                <a:ext uri="{FF2B5EF4-FFF2-40B4-BE49-F238E27FC236}">
                  <a16:creationId xmlns:a16="http://schemas.microsoft.com/office/drawing/2014/main" id="{00000000-0008-0000-0A00-00000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11</xdr:row>
          <xdr:rowOff>47625</xdr:rowOff>
        </xdr:from>
        <xdr:to>
          <xdr:col>3</xdr:col>
          <xdr:colOff>914400</xdr:colOff>
          <xdr:row>11</xdr:row>
          <xdr:rowOff>228600</xdr:rowOff>
        </xdr:to>
        <xdr:sp macro="" textlink="">
          <xdr:nvSpPr>
            <xdr:cNvPr id="16399" name="Option Button 15" hidden="1">
              <a:extLst>
                <a:ext uri="{63B3BB69-23CF-44E3-9099-C40C66FF867C}">
                  <a14:compatExt spid="_x0000_s16399"/>
                </a:ext>
                <a:ext uri="{FF2B5EF4-FFF2-40B4-BE49-F238E27FC236}">
                  <a16:creationId xmlns:a16="http://schemas.microsoft.com/office/drawing/2014/main" id="{00000000-0008-0000-0A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xdr:row>
          <xdr:rowOff>57150</xdr:rowOff>
        </xdr:from>
        <xdr:to>
          <xdr:col>4</xdr:col>
          <xdr:colOff>895350</xdr:colOff>
          <xdr:row>11</xdr:row>
          <xdr:rowOff>200025</xdr:rowOff>
        </xdr:to>
        <xdr:sp macro="" textlink="">
          <xdr:nvSpPr>
            <xdr:cNvPr id="16400" name="Option Button 16" hidden="1">
              <a:extLst>
                <a:ext uri="{63B3BB69-23CF-44E3-9099-C40C66FF867C}">
                  <a14:compatExt spid="_x0000_s16400"/>
                </a:ext>
                <a:ext uri="{FF2B5EF4-FFF2-40B4-BE49-F238E27FC236}">
                  <a16:creationId xmlns:a16="http://schemas.microsoft.com/office/drawing/2014/main" id="{00000000-0008-0000-0A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9525</xdr:rowOff>
        </xdr:from>
        <xdr:to>
          <xdr:col>5</xdr:col>
          <xdr:colOff>0</xdr:colOff>
          <xdr:row>12</xdr:row>
          <xdr:rowOff>228600</xdr:rowOff>
        </xdr:to>
        <xdr:sp macro="" textlink="">
          <xdr:nvSpPr>
            <xdr:cNvPr id="16401" name="Group Box 17" hidden="1">
              <a:extLst>
                <a:ext uri="{63B3BB69-23CF-44E3-9099-C40C66FF867C}">
                  <a14:compatExt spid="_x0000_s16401"/>
                </a:ext>
                <a:ext uri="{FF2B5EF4-FFF2-40B4-BE49-F238E27FC236}">
                  <a16:creationId xmlns:a16="http://schemas.microsoft.com/office/drawing/2014/main" id="{00000000-0008-0000-0A00-00001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12</xdr:row>
          <xdr:rowOff>38100</xdr:rowOff>
        </xdr:from>
        <xdr:to>
          <xdr:col>3</xdr:col>
          <xdr:colOff>933450</xdr:colOff>
          <xdr:row>12</xdr:row>
          <xdr:rowOff>190500</xdr:rowOff>
        </xdr:to>
        <xdr:sp macro="" textlink="">
          <xdr:nvSpPr>
            <xdr:cNvPr id="16402" name="Option Button 18" hidden="1">
              <a:extLst>
                <a:ext uri="{63B3BB69-23CF-44E3-9099-C40C66FF867C}">
                  <a14:compatExt spid="_x0000_s16402"/>
                </a:ext>
                <a:ext uri="{FF2B5EF4-FFF2-40B4-BE49-F238E27FC236}">
                  <a16:creationId xmlns:a16="http://schemas.microsoft.com/office/drawing/2014/main" id="{00000000-0008-0000-0A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12</xdr:row>
          <xdr:rowOff>38100</xdr:rowOff>
        </xdr:from>
        <xdr:to>
          <xdr:col>4</xdr:col>
          <xdr:colOff>885825</xdr:colOff>
          <xdr:row>12</xdr:row>
          <xdr:rowOff>200025</xdr:rowOff>
        </xdr:to>
        <xdr:sp macro="" textlink="">
          <xdr:nvSpPr>
            <xdr:cNvPr id="16403" name="Option Button 19" hidden="1">
              <a:extLst>
                <a:ext uri="{63B3BB69-23CF-44E3-9099-C40C66FF867C}">
                  <a14:compatExt spid="_x0000_s16403"/>
                </a:ext>
                <a:ext uri="{FF2B5EF4-FFF2-40B4-BE49-F238E27FC236}">
                  <a16:creationId xmlns:a16="http://schemas.microsoft.com/office/drawing/2014/main" id="{00000000-0008-0000-0A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9525</xdr:rowOff>
        </xdr:from>
        <xdr:to>
          <xdr:col>5</xdr:col>
          <xdr:colOff>0</xdr:colOff>
          <xdr:row>14</xdr:row>
          <xdr:rowOff>238125</xdr:rowOff>
        </xdr:to>
        <xdr:sp macro="" textlink="">
          <xdr:nvSpPr>
            <xdr:cNvPr id="16404" name="Group Box 20" hidden="1">
              <a:extLst>
                <a:ext uri="{63B3BB69-23CF-44E3-9099-C40C66FF867C}">
                  <a14:compatExt spid="_x0000_s16404"/>
                </a:ext>
                <a:ext uri="{FF2B5EF4-FFF2-40B4-BE49-F238E27FC236}">
                  <a16:creationId xmlns:a16="http://schemas.microsoft.com/office/drawing/2014/main" id="{00000000-0008-0000-0A00-00001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14</xdr:row>
          <xdr:rowOff>38100</xdr:rowOff>
        </xdr:from>
        <xdr:to>
          <xdr:col>3</xdr:col>
          <xdr:colOff>942975</xdr:colOff>
          <xdr:row>14</xdr:row>
          <xdr:rowOff>200025</xdr:rowOff>
        </xdr:to>
        <xdr:sp macro="" textlink="">
          <xdr:nvSpPr>
            <xdr:cNvPr id="16405" name="Option Button 21" hidden="1">
              <a:extLst>
                <a:ext uri="{63B3BB69-23CF-44E3-9099-C40C66FF867C}">
                  <a14:compatExt spid="_x0000_s16405"/>
                </a:ext>
                <a:ext uri="{FF2B5EF4-FFF2-40B4-BE49-F238E27FC236}">
                  <a16:creationId xmlns:a16="http://schemas.microsoft.com/office/drawing/2014/main" id="{00000000-0008-0000-0A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14</xdr:row>
          <xdr:rowOff>28575</xdr:rowOff>
        </xdr:from>
        <xdr:to>
          <xdr:col>4</xdr:col>
          <xdr:colOff>876300</xdr:colOff>
          <xdr:row>14</xdr:row>
          <xdr:rowOff>190500</xdr:rowOff>
        </xdr:to>
        <xdr:sp macro="" textlink="">
          <xdr:nvSpPr>
            <xdr:cNvPr id="16406" name="Option Button 22" hidden="1">
              <a:extLst>
                <a:ext uri="{63B3BB69-23CF-44E3-9099-C40C66FF867C}">
                  <a14:compatExt spid="_x0000_s16406"/>
                </a:ext>
                <a:ext uri="{FF2B5EF4-FFF2-40B4-BE49-F238E27FC236}">
                  <a16:creationId xmlns:a16="http://schemas.microsoft.com/office/drawing/2014/main" id="{00000000-0008-0000-0A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5</xdr:col>
          <xdr:colOff>0</xdr:colOff>
          <xdr:row>15</xdr:row>
          <xdr:rowOff>238125</xdr:rowOff>
        </xdr:to>
        <xdr:sp macro="" textlink="">
          <xdr:nvSpPr>
            <xdr:cNvPr id="16407" name="Group Box 23" hidden="1">
              <a:extLst>
                <a:ext uri="{63B3BB69-23CF-44E3-9099-C40C66FF867C}">
                  <a14:compatExt spid="_x0000_s16407"/>
                </a:ext>
                <a:ext uri="{FF2B5EF4-FFF2-40B4-BE49-F238E27FC236}">
                  <a16:creationId xmlns:a16="http://schemas.microsoft.com/office/drawing/2014/main" id="{00000000-0008-0000-0A00-00001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15</xdr:row>
          <xdr:rowOff>47625</xdr:rowOff>
        </xdr:from>
        <xdr:to>
          <xdr:col>3</xdr:col>
          <xdr:colOff>923925</xdr:colOff>
          <xdr:row>15</xdr:row>
          <xdr:rowOff>200025</xdr:rowOff>
        </xdr:to>
        <xdr:sp macro="" textlink="">
          <xdr:nvSpPr>
            <xdr:cNvPr id="16408" name="Option Button 24" hidden="1">
              <a:extLst>
                <a:ext uri="{63B3BB69-23CF-44E3-9099-C40C66FF867C}">
                  <a14:compatExt spid="_x0000_s16408"/>
                </a:ext>
                <a:ext uri="{FF2B5EF4-FFF2-40B4-BE49-F238E27FC236}">
                  <a16:creationId xmlns:a16="http://schemas.microsoft.com/office/drawing/2014/main" id="{00000000-0008-0000-0A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15</xdr:row>
          <xdr:rowOff>38100</xdr:rowOff>
        </xdr:from>
        <xdr:to>
          <xdr:col>4</xdr:col>
          <xdr:colOff>876300</xdr:colOff>
          <xdr:row>15</xdr:row>
          <xdr:rowOff>200025</xdr:rowOff>
        </xdr:to>
        <xdr:sp macro="" textlink="">
          <xdr:nvSpPr>
            <xdr:cNvPr id="16409" name="Option Button 25" hidden="1">
              <a:extLst>
                <a:ext uri="{63B3BB69-23CF-44E3-9099-C40C66FF867C}">
                  <a14:compatExt spid="_x0000_s16409"/>
                </a:ext>
                <a:ext uri="{FF2B5EF4-FFF2-40B4-BE49-F238E27FC236}">
                  <a16:creationId xmlns:a16="http://schemas.microsoft.com/office/drawing/2014/main" id="{00000000-0008-0000-0A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9525</xdr:rowOff>
        </xdr:from>
        <xdr:to>
          <xdr:col>5</xdr:col>
          <xdr:colOff>0</xdr:colOff>
          <xdr:row>25</xdr:row>
          <xdr:rowOff>0</xdr:rowOff>
        </xdr:to>
        <xdr:sp macro="" textlink="">
          <xdr:nvSpPr>
            <xdr:cNvPr id="16410" name="Group Box 26" hidden="1">
              <a:extLst>
                <a:ext uri="{63B3BB69-23CF-44E3-9099-C40C66FF867C}">
                  <a14:compatExt spid="_x0000_s16410"/>
                </a:ext>
                <a:ext uri="{FF2B5EF4-FFF2-40B4-BE49-F238E27FC236}">
                  <a16:creationId xmlns:a16="http://schemas.microsoft.com/office/drawing/2014/main" id="{00000000-0008-0000-0A00-00001A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24</xdr:row>
          <xdr:rowOff>57150</xdr:rowOff>
        </xdr:from>
        <xdr:to>
          <xdr:col>3</xdr:col>
          <xdr:colOff>933450</xdr:colOff>
          <xdr:row>24</xdr:row>
          <xdr:rowOff>361950</xdr:rowOff>
        </xdr:to>
        <xdr:sp macro="" textlink="">
          <xdr:nvSpPr>
            <xdr:cNvPr id="16411" name="Option Button 27" hidden="1">
              <a:extLst>
                <a:ext uri="{63B3BB69-23CF-44E3-9099-C40C66FF867C}">
                  <a14:compatExt spid="_x0000_s16411"/>
                </a:ext>
                <a:ext uri="{FF2B5EF4-FFF2-40B4-BE49-F238E27FC236}">
                  <a16:creationId xmlns:a16="http://schemas.microsoft.com/office/drawing/2014/main" id="{00000000-0008-0000-0A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24</xdr:row>
          <xdr:rowOff>57150</xdr:rowOff>
        </xdr:from>
        <xdr:to>
          <xdr:col>4</xdr:col>
          <xdr:colOff>876300</xdr:colOff>
          <xdr:row>25</xdr:row>
          <xdr:rowOff>0</xdr:rowOff>
        </xdr:to>
        <xdr:sp macro="" textlink="">
          <xdr:nvSpPr>
            <xdr:cNvPr id="16412" name="Option Button 28" hidden="1">
              <a:extLst>
                <a:ext uri="{63B3BB69-23CF-44E3-9099-C40C66FF867C}">
                  <a14:compatExt spid="_x0000_s16412"/>
                </a:ext>
                <a:ext uri="{FF2B5EF4-FFF2-40B4-BE49-F238E27FC236}">
                  <a16:creationId xmlns:a16="http://schemas.microsoft.com/office/drawing/2014/main" id="{00000000-0008-0000-0A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19050</xdr:rowOff>
        </xdr:from>
        <xdr:to>
          <xdr:col>5</xdr:col>
          <xdr:colOff>0</xdr:colOff>
          <xdr:row>27</xdr:row>
          <xdr:rowOff>9525</xdr:rowOff>
        </xdr:to>
        <xdr:sp macro="" textlink="">
          <xdr:nvSpPr>
            <xdr:cNvPr id="16413" name="Group Box 29" hidden="1">
              <a:extLst>
                <a:ext uri="{63B3BB69-23CF-44E3-9099-C40C66FF867C}">
                  <a14:compatExt spid="_x0000_s16413"/>
                </a:ext>
                <a:ext uri="{FF2B5EF4-FFF2-40B4-BE49-F238E27FC236}">
                  <a16:creationId xmlns:a16="http://schemas.microsoft.com/office/drawing/2014/main" id="{00000000-0008-0000-0A00-00001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26</xdr:row>
          <xdr:rowOff>104775</xdr:rowOff>
        </xdr:from>
        <xdr:to>
          <xdr:col>3</xdr:col>
          <xdr:colOff>914400</xdr:colOff>
          <xdr:row>27</xdr:row>
          <xdr:rowOff>0</xdr:rowOff>
        </xdr:to>
        <xdr:sp macro="" textlink="">
          <xdr:nvSpPr>
            <xdr:cNvPr id="16414" name="Option Button 30" hidden="1">
              <a:extLst>
                <a:ext uri="{63B3BB69-23CF-44E3-9099-C40C66FF867C}">
                  <a14:compatExt spid="_x0000_s16414"/>
                </a:ext>
                <a:ext uri="{FF2B5EF4-FFF2-40B4-BE49-F238E27FC236}">
                  <a16:creationId xmlns:a16="http://schemas.microsoft.com/office/drawing/2014/main" id="{00000000-0008-0000-0A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26</xdr:row>
          <xdr:rowOff>104775</xdr:rowOff>
        </xdr:from>
        <xdr:to>
          <xdr:col>4</xdr:col>
          <xdr:colOff>885825</xdr:colOff>
          <xdr:row>27</xdr:row>
          <xdr:rowOff>0</xdr:rowOff>
        </xdr:to>
        <xdr:sp macro="" textlink="">
          <xdr:nvSpPr>
            <xdr:cNvPr id="16415" name="Option Button 31" hidden="1">
              <a:extLst>
                <a:ext uri="{63B3BB69-23CF-44E3-9099-C40C66FF867C}">
                  <a14:compatExt spid="_x0000_s16415"/>
                </a:ext>
                <a:ext uri="{FF2B5EF4-FFF2-40B4-BE49-F238E27FC236}">
                  <a16:creationId xmlns:a16="http://schemas.microsoft.com/office/drawing/2014/main" id="{00000000-0008-0000-0A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9525</xdr:rowOff>
        </xdr:from>
        <xdr:to>
          <xdr:col>5</xdr:col>
          <xdr:colOff>0</xdr:colOff>
          <xdr:row>29</xdr:row>
          <xdr:rowOff>28575</xdr:rowOff>
        </xdr:to>
        <xdr:sp macro="" textlink="">
          <xdr:nvSpPr>
            <xdr:cNvPr id="16416" name="Group Box 32" hidden="1">
              <a:extLst>
                <a:ext uri="{63B3BB69-23CF-44E3-9099-C40C66FF867C}">
                  <a14:compatExt spid="_x0000_s16416"/>
                </a:ext>
                <a:ext uri="{FF2B5EF4-FFF2-40B4-BE49-F238E27FC236}">
                  <a16:creationId xmlns:a16="http://schemas.microsoft.com/office/drawing/2014/main" id="{00000000-0008-0000-0A00-00002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28</xdr:row>
          <xdr:rowOff>47625</xdr:rowOff>
        </xdr:from>
        <xdr:to>
          <xdr:col>3</xdr:col>
          <xdr:colOff>914400</xdr:colOff>
          <xdr:row>28</xdr:row>
          <xdr:rowOff>200025</xdr:rowOff>
        </xdr:to>
        <xdr:sp macro="" textlink="">
          <xdr:nvSpPr>
            <xdr:cNvPr id="16417" name="Option Button 33" hidden="1">
              <a:extLst>
                <a:ext uri="{63B3BB69-23CF-44E3-9099-C40C66FF867C}">
                  <a14:compatExt spid="_x0000_s16417"/>
                </a:ext>
                <a:ext uri="{FF2B5EF4-FFF2-40B4-BE49-F238E27FC236}">
                  <a16:creationId xmlns:a16="http://schemas.microsoft.com/office/drawing/2014/main" id="{00000000-0008-0000-0A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28</xdr:row>
          <xdr:rowOff>47625</xdr:rowOff>
        </xdr:from>
        <xdr:to>
          <xdr:col>4</xdr:col>
          <xdr:colOff>885825</xdr:colOff>
          <xdr:row>29</xdr:row>
          <xdr:rowOff>0</xdr:rowOff>
        </xdr:to>
        <xdr:sp macro="" textlink="">
          <xdr:nvSpPr>
            <xdr:cNvPr id="16418" name="Option Button 34" hidden="1">
              <a:extLst>
                <a:ext uri="{63B3BB69-23CF-44E3-9099-C40C66FF867C}">
                  <a14:compatExt spid="_x0000_s16418"/>
                </a:ext>
                <a:ext uri="{FF2B5EF4-FFF2-40B4-BE49-F238E27FC236}">
                  <a16:creationId xmlns:a16="http://schemas.microsoft.com/office/drawing/2014/main" id="{00000000-0008-0000-0A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9525</xdr:rowOff>
        </xdr:from>
        <xdr:to>
          <xdr:col>5</xdr:col>
          <xdr:colOff>0</xdr:colOff>
          <xdr:row>30</xdr:row>
          <xdr:rowOff>238125</xdr:rowOff>
        </xdr:to>
        <xdr:sp macro="" textlink="">
          <xdr:nvSpPr>
            <xdr:cNvPr id="16419" name="Group Box 35" hidden="1">
              <a:extLst>
                <a:ext uri="{63B3BB69-23CF-44E3-9099-C40C66FF867C}">
                  <a14:compatExt spid="_x0000_s16419"/>
                </a:ext>
                <a:ext uri="{FF2B5EF4-FFF2-40B4-BE49-F238E27FC236}">
                  <a16:creationId xmlns:a16="http://schemas.microsoft.com/office/drawing/2014/main" id="{00000000-0008-0000-0A00-00002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30</xdr:row>
          <xdr:rowOff>28575</xdr:rowOff>
        </xdr:from>
        <xdr:to>
          <xdr:col>3</xdr:col>
          <xdr:colOff>952500</xdr:colOff>
          <xdr:row>30</xdr:row>
          <xdr:rowOff>200025</xdr:rowOff>
        </xdr:to>
        <xdr:sp macro="" textlink="">
          <xdr:nvSpPr>
            <xdr:cNvPr id="16420" name="Option Button 36" hidden="1">
              <a:extLst>
                <a:ext uri="{63B3BB69-23CF-44E3-9099-C40C66FF867C}">
                  <a14:compatExt spid="_x0000_s16420"/>
                </a:ext>
                <a:ext uri="{FF2B5EF4-FFF2-40B4-BE49-F238E27FC236}">
                  <a16:creationId xmlns:a16="http://schemas.microsoft.com/office/drawing/2014/main" id="{00000000-0008-0000-0A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30</xdr:row>
          <xdr:rowOff>28575</xdr:rowOff>
        </xdr:from>
        <xdr:to>
          <xdr:col>4</xdr:col>
          <xdr:colOff>914400</xdr:colOff>
          <xdr:row>30</xdr:row>
          <xdr:rowOff>219075</xdr:rowOff>
        </xdr:to>
        <xdr:sp macro="" textlink="">
          <xdr:nvSpPr>
            <xdr:cNvPr id="16421" name="Option Button 37" hidden="1">
              <a:extLst>
                <a:ext uri="{63B3BB69-23CF-44E3-9099-C40C66FF867C}">
                  <a14:compatExt spid="_x0000_s16421"/>
                </a:ext>
                <a:ext uri="{FF2B5EF4-FFF2-40B4-BE49-F238E27FC236}">
                  <a16:creationId xmlns:a16="http://schemas.microsoft.com/office/drawing/2014/main" id="{00000000-0008-0000-0A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101</xdr:row>
          <xdr:rowOff>9525</xdr:rowOff>
        </xdr:from>
        <xdr:to>
          <xdr:col>5</xdr:col>
          <xdr:colOff>0</xdr:colOff>
          <xdr:row>101</xdr:row>
          <xdr:rowOff>238125</xdr:rowOff>
        </xdr:to>
        <xdr:sp macro="" textlink="">
          <xdr:nvSpPr>
            <xdr:cNvPr id="16422" name="Group Box 38" hidden="1">
              <a:extLst>
                <a:ext uri="{63B3BB69-23CF-44E3-9099-C40C66FF867C}">
                  <a14:compatExt spid="_x0000_s16422"/>
                </a:ext>
                <a:ext uri="{FF2B5EF4-FFF2-40B4-BE49-F238E27FC236}">
                  <a16:creationId xmlns:a16="http://schemas.microsoft.com/office/drawing/2014/main" id="{00000000-0008-0000-0A00-00002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101</xdr:row>
          <xdr:rowOff>28575</xdr:rowOff>
        </xdr:from>
        <xdr:to>
          <xdr:col>3</xdr:col>
          <xdr:colOff>914400</xdr:colOff>
          <xdr:row>101</xdr:row>
          <xdr:rowOff>200025</xdr:rowOff>
        </xdr:to>
        <xdr:sp macro="" textlink="">
          <xdr:nvSpPr>
            <xdr:cNvPr id="16423" name="Option Button 39" hidden="1">
              <a:extLst>
                <a:ext uri="{63B3BB69-23CF-44E3-9099-C40C66FF867C}">
                  <a14:compatExt spid="_x0000_s16423"/>
                </a:ext>
                <a:ext uri="{FF2B5EF4-FFF2-40B4-BE49-F238E27FC236}">
                  <a16:creationId xmlns:a16="http://schemas.microsoft.com/office/drawing/2014/main" id="{00000000-0008-0000-0A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101</xdr:row>
          <xdr:rowOff>38100</xdr:rowOff>
        </xdr:from>
        <xdr:to>
          <xdr:col>4</xdr:col>
          <xdr:colOff>895350</xdr:colOff>
          <xdr:row>101</xdr:row>
          <xdr:rowOff>200025</xdr:rowOff>
        </xdr:to>
        <xdr:sp macro="" textlink="">
          <xdr:nvSpPr>
            <xdr:cNvPr id="16424" name="Option Button 40" hidden="1">
              <a:extLst>
                <a:ext uri="{63B3BB69-23CF-44E3-9099-C40C66FF867C}">
                  <a14:compatExt spid="_x0000_s16424"/>
                </a:ext>
                <a:ext uri="{FF2B5EF4-FFF2-40B4-BE49-F238E27FC236}">
                  <a16:creationId xmlns:a16="http://schemas.microsoft.com/office/drawing/2014/main" id="{00000000-0008-0000-0A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103</xdr:row>
          <xdr:rowOff>9525</xdr:rowOff>
        </xdr:from>
        <xdr:to>
          <xdr:col>5</xdr:col>
          <xdr:colOff>0</xdr:colOff>
          <xdr:row>104</xdr:row>
          <xdr:rowOff>304800</xdr:rowOff>
        </xdr:to>
        <xdr:sp macro="" textlink="">
          <xdr:nvSpPr>
            <xdr:cNvPr id="16425" name="Group Box 41" hidden="1">
              <a:extLst>
                <a:ext uri="{63B3BB69-23CF-44E3-9099-C40C66FF867C}">
                  <a14:compatExt spid="_x0000_s16425"/>
                </a:ext>
                <a:ext uri="{FF2B5EF4-FFF2-40B4-BE49-F238E27FC236}">
                  <a16:creationId xmlns:a16="http://schemas.microsoft.com/office/drawing/2014/main" id="{00000000-0008-0000-0A00-00002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103</xdr:row>
          <xdr:rowOff>171450</xdr:rowOff>
        </xdr:from>
        <xdr:to>
          <xdr:col>3</xdr:col>
          <xdr:colOff>914400</xdr:colOff>
          <xdr:row>104</xdr:row>
          <xdr:rowOff>123825</xdr:rowOff>
        </xdr:to>
        <xdr:sp macro="" textlink="">
          <xdr:nvSpPr>
            <xdr:cNvPr id="16426" name="Option Button 42" hidden="1">
              <a:extLst>
                <a:ext uri="{63B3BB69-23CF-44E3-9099-C40C66FF867C}">
                  <a14:compatExt spid="_x0000_s16426"/>
                </a:ext>
                <a:ext uri="{FF2B5EF4-FFF2-40B4-BE49-F238E27FC236}">
                  <a16:creationId xmlns:a16="http://schemas.microsoft.com/office/drawing/2014/main" id="{00000000-0008-0000-0A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103</xdr:row>
          <xdr:rowOff>152400</xdr:rowOff>
        </xdr:from>
        <xdr:to>
          <xdr:col>4</xdr:col>
          <xdr:colOff>914400</xdr:colOff>
          <xdr:row>104</xdr:row>
          <xdr:rowOff>95250</xdr:rowOff>
        </xdr:to>
        <xdr:sp macro="" textlink="">
          <xdr:nvSpPr>
            <xdr:cNvPr id="16427" name="Option Button 43" hidden="1">
              <a:extLst>
                <a:ext uri="{63B3BB69-23CF-44E3-9099-C40C66FF867C}">
                  <a14:compatExt spid="_x0000_s16427"/>
                </a:ext>
                <a:ext uri="{FF2B5EF4-FFF2-40B4-BE49-F238E27FC236}">
                  <a16:creationId xmlns:a16="http://schemas.microsoft.com/office/drawing/2014/main" id="{00000000-0008-0000-0A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103</xdr:row>
          <xdr:rowOff>190500</xdr:rowOff>
        </xdr:from>
        <xdr:to>
          <xdr:col>4</xdr:col>
          <xdr:colOff>714375</xdr:colOff>
          <xdr:row>104</xdr:row>
          <xdr:rowOff>95250</xdr:rowOff>
        </xdr:to>
        <xdr:sp macro="" textlink="">
          <xdr:nvSpPr>
            <xdr:cNvPr id="16428" name="Drop Down 44" hidden="1">
              <a:extLst>
                <a:ext uri="{63B3BB69-23CF-44E3-9099-C40C66FF867C}">
                  <a14:compatExt spid="_x0000_s16428"/>
                </a:ext>
                <a:ext uri="{FF2B5EF4-FFF2-40B4-BE49-F238E27FC236}">
                  <a16:creationId xmlns:a16="http://schemas.microsoft.com/office/drawing/2014/main" id="{00000000-0008-0000-0A00-00002C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106</xdr:row>
          <xdr:rowOff>9525</xdr:rowOff>
        </xdr:from>
        <xdr:to>
          <xdr:col>5</xdr:col>
          <xdr:colOff>0</xdr:colOff>
          <xdr:row>106</xdr:row>
          <xdr:rowOff>304800</xdr:rowOff>
        </xdr:to>
        <xdr:sp macro="" textlink="">
          <xdr:nvSpPr>
            <xdr:cNvPr id="16429" name="Group Box 45" hidden="1">
              <a:extLst>
                <a:ext uri="{63B3BB69-23CF-44E3-9099-C40C66FF867C}">
                  <a14:compatExt spid="_x0000_s16429"/>
                </a:ext>
                <a:ext uri="{FF2B5EF4-FFF2-40B4-BE49-F238E27FC236}">
                  <a16:creationId xmlns:a16="http://schemas.microsoft.com/office/drawing/2014/main" id="{00000000-0008-0000-0A00-00002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106</xdr:row>
          <xdr:rowOff>38100</xdr:rowOff>
        </xdr:from>
        <xdr:to>
          <xdr:col>3</xdr:col>
          <xdr:colOff>904875</xdr:colOff>
          <xdr:row>106</xdr:row>
          <xdr:rowOff>247650</xdr:rowOff>
        </xdr:to>
        <xdr:sp macro="" textlink="">
          <xdr:nvSpPr>
            <xdr:cNvPr id="16430" name="Option Button 46" hidden="1">
              <a:extLst>
                <a:ext uri="{63B3BB69-23CF-44E3-9099-C40C66FF867C}">
                  <a14:compatExt spid="_x0000_s16430"/>
                </a:ext>
                <a:ext uri="{FF2B5EF4-FFF2-40B4-BE49-F238E27FC236}">
                  <a16:creationId xmlns:a16="http://schemas.microsoft.com/office/drawing/2014/main" id="{00000000-0008-0000-0A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106</xdr:row>
          <xdr:rowOff>47625</xdr:rowOff>
        </xdr:from>
        <xdr:to>
          <xdr:col>4</xdr:col>
          <xdr:colOff>942975</xdr:colOff>
          <xdr:row>106</xdr:row>
          <xdr:rowOff>228600</xdr:rowOff>
        </xdr:to>
        <xdr:sp macro="" textlink="">
          <xdr:nvSpPr>
            <xdr:cNvPr id="16431" name="Option Button 47" hidden="1">
              <a:extLst>
                <a:ext uri="{63B3BB69-23CF-44E3-9099-C40C66FF867C}">
                  <a14:compatExt spid="_x0000_s16431"/>
                </a:ext>
                <a:ext uri="{FF2B5EF4-FFF2-40B4-BE49-F238E27FC236}">
                  <a16:creationId xmlns:a16="http://schemas.microsoft.com/office/drawing/2014/main" id="{00000000-0008-0000-0A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106</xdr:row>
          <xdr:rowOff>47625</xdr:rowOff>
        </xdr:from>
        <xdr:to>
          <xdr:col>4</xdr:col>
          <xdr:colOff>704850</xdr:colOff>
          <xdr:row>106</xdr:row>
          <xdr:rowOff>247650</xdr:rowOff>
        </xdr:to>
        <xdr:sp macro="" textlink="">
          <xdr:nvSpPr>
            <xdr:cNvPr id="16432" name="Drop Down 48" hidden="1">
              <a:extLst>
                <a:ext uri="{63B3BB69-23CF-44E3-9099-C40C66FF867C}">
                  <a14:compatExt spid="_x0000_s16432"/>
                </a:ext>
                <a:ext uri="{FF2B5EF4-FFF2-40B4-BE49-F238E27FC236}">
                  <a16:creationId xmlns:a16="http://schemas.microsoft.com/office/drawing/2014/main" id="{00000000-0008-0000-0A00-000030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107</xdr:row>
          <xdr:rowOff>9525</xdr:rowOff>
        </xdr:from>
        <xdr:to>
          <xdr:col>5</xdr:col>
          <xdr:colOff>0</xdr:colOff>
          <xdr:row>107</xdr:row>
          <xdr:rowOff>304800</xdr:rowOff>
        </xdr:to>
        <xdr:sp macro="" textlink="">
          <xdr:nvSpPr>
            <xdr:cNvPr id="16433" name="Group Box 49" hidden="1">
              <a:extLst>
                <a:ext uri="{63B3BB69-23CF-44E3-9099-C40C66FF867C}">
                  <a14:compatExt spid="_x0000_s16433"/>
                </a:ext>
                <a:ext uri="{FF2B5EF4-FFF2-40B4-BE49-F238E27FC236}">
                  <a16:creationId xmlns:a16="http://schemas.microsoft.com/office/drawing/2014/main" id="{00000000-0008-0000-0A00-00003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107</xdr:row>
          <xdr:rowOff>28575</xdr:rowOff>
        </xdr:from>
        <xdr:to>
          <xdr:col>3</xdr:col>
          <xdr:colOff>914400</xdr:colOff>
          <xdr:row>107</xdr:row>
          <xdr:rowOff>228600</xdr:rowOff>
        </xdr:to>
        <xdr:sp macro="" textlink="">
          <xdr:nvSpPr>
            <xdr:cNvPr id="16434" name="Option Button 50" hidden="1">
              <a:extLst>
                <a:ext uri="{63B3BB69-23CF-44E3-9099-C40C66FF867C}">
                  <a14:compatExt spid="_x0000_s16434"/>
                </a:ext>
                <a:ext uri="{FF2B5EF4-FFF2-40B4-BE49-F238E27FC236}">
                  <a16:creationId xmlns:a16="http://schemas.microsoft.com/office/drawing/2014/main" id="{00000000-0008-0000-0A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107</xdr:row>
          <xdr:rowOff>38100</xdr:rowOff>
        </xdr:from>
        <xdr:to>
          <xdr:col>4</xdr:col>
          <xdr:colOff>914400</xdr:colOff>
          <xdr:row>107</xdr:row>
          <xdr:rowOff>247650</xdr:rowOff>
        </xdr:to>
        <xdr:sp macro="" textlink="">
          <xdr:nvSpPr>
            <xdr:cNvPr id="16435" name="Option Button 51" hidden="1">
              <a:extLst>
                <a:ext uri="{63B3BB69-23CF-44E3-9099-C40C66FF867C}">
                  <a14:compatExt spid="_x0000_s16435"/>
                </a:ext>
                <a:ext uri="{FF2B5EF4-FFF2-40B4-BE49-F238E27FC236}">
                  <a16:creationId xmlns:a16="http://schemas.microsoft.com/office/drawing/2014/main" id="{00000000-0008-0000-0A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107</xdr:row>
          <xdr:rowOff>47625</xdr:rowOff>
        </xdr:from>
        <xdr:to>
          <xdr:col>4</xdr:col>
          <xdr:colOff>704850</xdr:colOff>
          <xdr:row>107</xdr:row>
          <xdr:rowOff>247650</xdr:rowOff>
        </xdr:to>
        <xdr:sp macro="" textlink="">
          <xdr:nvSpPr>
            <xdr:cNvPr id="16436" name="Drop Down 52" hidden="1">
              <a:extLst>
                <a:ext uri="{63B3BB69-23CF-44E3-9099-C40C66FF867C}">
                  <a14:compatExt spid="_x0000_s16436"/>
                </a:ext>
                <a:ext uri="{FF2B5EF4-FFF2-40B4-BE49-F238E27FC236}">
                  <a16:creationId xmlns:a16="http://schemas.microsoft.com/office/drawing/2014/main" id="{00000000-0008-0000-0A00-00003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108</xdr:row>
          <xdr:rowOff>9525</xdr:rowOff>
        </xdr:from>
        <xdr:to>
          <xdr:col>4</xdr:col>
          <xdr:colOff>952500</xdr:colOff>
          <xdr:row>109</xdr:row>
          <xdr:rowOff>0</xdr:rowOff>
        </xdr:to>
        <xdr:sp macro="" textlink="">
          <xdr:nvSpPr>
            <xdr:cNvPr id="16437" name="Group Box 53" hidden="1">
              <a:extLst>
                <a:ext uri="{63B3BB69-23CF-44E3-9099-C40C66FF867C}">
                  <a14:compatExt spid="_x0000_s16437"/>
                </a:ext>
                <a:ext uri="{FF2B5EF4-FFF2-40B4-BE49-F238E27FC236}">
                  <a16:creationId xmlns:a16="http://schemas.microsoft.com/office/drawing/2014/main" id="{00000000-0008-0000-0A00-00003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108</xdr:row>
          <xdr:rowOff>95250</xdr:rowOff>
        </xdr:from>
        <xdr:to>
          <xdr:col>3</xdr:col>
          <xdr:colOff>942975</xdr:colOff>
          <xdr:row>108</xdr:row>
          <xdr:rowOff>209550</xdr:rowOff>
        </xdr:to>
        <xdr:sp macro="" textlink="">
          <xdr:nvSpPr>
            <xdr:cNvPr id="16438" name="Option Button 54" hidden="1">
              <a:extLst>
                <a:ext uri="{63B3BB69-23CF-44E3-9099-C40C66FF867C}">
                  <a14:compatExt spid="_x0000_s16438"/>
                </a:ext>
                <a:ext uri="{FF2B5EF4-FFF2-40B4-BE49-F238E27FC236}">
                  <a16:creationId xmlns:a16="http://schemas.microsoft.com/office/drawing/2014/main" id="{00000000-0008-0000-0A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108</xdr:row>
          <xdr:rowOff>95250</xdr:rowOff>
        </xdr:from>
        <xdr:to>
          <xdr:col>4</xdr:col>
          <xdr:colOff>914400</xdr:colOff>
          <xdr:row>108</xdr:row>
          <xdr:rowOff>209550</xdr:rowOff>
        </xdr:to>
        <xdr:sp macro="" textlink="">
          <xdr:nvSpPr>
            <xdr:cNvPr id="16439" name="Option Button 55" hidden="1">
              <a:extLst>
                <a:ext uri="{63B3BB69-23CF-44E3-9099-C40C66FF867C}">
                  <a14:compatExt spid="_x0000_s16439"/>
                </a:ext>
                <a:ext uri="{FF2B5EF4-FFF2-40B4-BE49-F238E27FC236}">
                  <a16:creationId xmlns:a16="http://schemas.microsoft.com/office/drawing/2014/main" id="{00000000-0008-0000-0A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108</xdr:row>
          <xdr:rowOff>57150</xdr:rowOff>
        </xdr:from>
        <xdr:to>
          <xdr:col>4</xdr:col>
          <xdr:colOff>704850</xdr:colOff>
          <xdr:row>108</xdr:row>
          <xdr:rowOff>266700</xdr:rowOff>
        </xdr:to>
        <xdr:sp macro="" textlink="">
          <xdr:nvSpPr>
            <xdr:cNvPr id="16440" name="Drop Down 56" hidden="1">
              <a:extLst>
                <a:ext uri="{63B3BB69-23CF-44E3-9099-C40C66FF867C}">
                  <a14:compatExt spid="_x0000_s16440"/>
                </a:ext>
                <a:ext uri="{FF2B5EF4-FFF2-40B4-BE49-F238E27FC236}">
                  <a16:creationId xmlns:a16="http://schemas.microsoft.com/office/drawing/2014/main" id="{00000000-0008-0000-0A00-000038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121</xdr:row>
          <xdr:rowOff>9525</xdr:rowOff>
        </xdr:from>
        <xdr:to>
          <xdr:col>5</xdr:col>
          <xdr:colOff>0</xdr:colOff>
          <xdr:row>122</xdr:row>
          <xdr:rowOff>0</xdr:rowOff>
        </xdr:to>
        <xdr:sp macro="" textlink="">
          <xdr:nvSpPr>
            <xdr:cNvPr id="16441" name="Group Box 57" hidden="1">
              <a:extLst>
                <a:ext uri="{63B3BB69-23CF-44E3-9099-C40C66FF867C}">
                  <a14:compatExt spid="_x0000_s16441"/>
                </a:ext>
                <a:ext uri="{FF2B5EF4-FFF2-40B4-BE49-F238E27FC236}">
                  <a16:creationId xmlns:a16="http://schemas.microsoft.com/office/drawing/2014/main" id="{00000000-0008-0000-0A00-00003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121</xdr:row>
          <xdr:rowOff>28575</xdr:rowOff>
        </xdr:from>
        <xdr:to>
          <xdr:col>3</xdr:col>
          <xdr:colOff>895350</xdr:colOff>
          <xdr:row>121</xdr:row>
          <xdr:rowOff>228600</xdr:rowOff>
        </xdr:to>
        <xdr:sp macro="" textlink="">
          <xdr:nvSpPr>
            <xdr:cNvPr id="16442" name="Option Button 58" hidden="1">
              <a:extLst>
                <a:ext uri="{63B3BB69-23CF-44E3-9099-C40C66FF867C}">
                  <a14:compatExt spid="_x0000_s16442"/>
                </a:ext>
                <a:ext uri="{FF2B5EF4-FFF2-40B4-BE49-F238E27FC236}">
                  <a16:creationId xmlns:a16="http://schemas.microsoft.com/office/drawing/2014/main" id="{00000000-0008-0000-0A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121</xdr:row>
          <xdr:rowOff>28575</xdr:rowOff>
        </xdr:from>
        <xdr:to>
          <xdr:col>4</xdr:col>
          <xdr:colOff>914400</xdr:colOff>
          <xdr:row>121</xdr:row>
          <xdr:rowOff>219075</xdr:rowOff>
        </xdr:to>
        <xdr:sp macro="" textlink="">
          <xdr:nvSpPr>
            <xdr:cNvPr id="16443" name="Option Button 59" hidden="1">
              <a:extLst>
                <a:ext uri="{63B3BB69-23CF-44E3-9099-C40C66FF867C}">
                  <a14:compatExt spid="_x0000_s16443"/>
                </a:ext>
                <a:ext uri="{FF2B5EF4-FFF2-40B4-BE49-F238E27FC236}">
                  <a16:creationId xmlns:a16="http://schemas.microsoft.com/office/drawing/2014/main" id="{00000000-0008-0000-0A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9525</xdr:rowOff>
        </xdr:from>
        <xdr:to>
          <xdr:col>5</xdr:col>
          <xdr:colOff>0</xdr:colOff>
          <xdr:row>38</xdr:row>
          <xdr:rowOff>371475</xdr:rowOff>
        </xdr:to>
        <xdr:sp macro="" textlink="">
          <xdr:nvSpPr>
            <xdr:cNvPr id="16444" name="Group Box 60" hidden="1">
              <a:extLst>
                <a:ext uri="{63B3BB69-23CF-44E3-9099-C40C66FF867C}">
                  <a14:compatExt spid="_x0000_s16444"/>
                </a:ext>
                <a:ext uri="{FF2B5EF4-FFF2-40B4-BE49-F238E27FC236}">
                  <a16:creationId xmlns:a16="http://schemas.microsoft.com/office/drawing/2014/main" id="{00000000-0008-0000-0A00-00003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38</xdr:row>
          <xdr:rowOff>104775</xdr:rowOff>
        </xdr:from>
        <xdr:to>
          <xdr:col>3</xdr:col>
          <xdr:colOff>914400</xdr:colOff>
          <xdr:row>38</xdr:row>
          <xdr:rowOff>257175</xdr:rowOff>
        </xdr:to>
        <xdr:sp macro="" textlink="">
          <xdr:nvSpPr>
            <xdr:cNvPr id="16445" name="Option Button 61" hidden="1">
              <a:extLst>
                <a:ext uri="{63B3BB69-23CF-44E3-9099-C40C66FF867C}">
                  <a14:compatExt spid="_x0000_s16445"/>
                </a:ext>
                <a:ext uri="{FF2B5EF4-FFF2-40B4-BE49-F238E27FC236}">
                  <a16:creationId xmlns:a16="http://schemas.microsoft.com/office/drawing/2014/main" id="{00000000-0008-0000-0A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38</xdr:row>
          <xdr:rowOff>95250</xdr:rowOff>
        </xdr:from>
        <xdr:to>
          <xdr:col>4</xdr:col>
          <xdr:colOff>895350</xdr:colOff>
          <xdr:row>38</xdr:row>
          <xdr:rowOff>247650</xdr:rowOff>
        </xdr:to>
        <xdr:sp macro="" textlink="">
          <xdr:nvSpPr>
            <xdr:cNvPr id="16446" name="Option Button 62" hidden="1">
              <a:extLst>
                <a:ext uri="{63B3BB69-23CF-44E3-9099-C40C66FF867C}">
                  <a14:compatExt spid="_x0000_s16446"/>
                </a:ext>
                <a:ext uri="{FF2B5EF4-FFF2-40B4-BE49-F238E27FC236}">
                  <a16:creationId xmlns:a16="http://schemas.microsoft.com/office/drawing/2014/main" id="{00000000-0008-0000-0A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120</xdr:row>
          <xdr:rowOff>9525</xdr:rowOff>
        </xdr:from>
        <xdr:to>
          <xdr:col>5</xdr:col>
          <xdr:colOff>0</xdr:colOff>
          <xdr:row>121</xdr:row>
          <xdr:rowOff>9525</xdr:rowOff>
        </xdr:to>
        <xdr:sp macro="" textlink="">
          <xdr:nvSpPr>
            <xdr:cNvPr id="16447" name="Group Box 63" hidden="1">
              <a:extLst>
                <a:ext uri="{63B3BB69-23CF-44E3-9099-C40C66FF867C}">
                  <a14:compatExt spid="_x0000_s16447"/>
                </a:ext>
                <a:ext uri="{FF2B5EF4-FFF2-40B4-BE49-F238E27FC236}">
                  <a16:creationId xmlns:a16="http://schemas.microsoft.com/office/drawing/2014/main" id="{00000000-0008-0000-0A00-00003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9525</xdr:rowOff>
        </xdr:from>
        <xdr:to>
          <xdr:col>4</xdr:col>
          <xdr:colOff>952500</xdr:colOff>
          <xdr:row>123</xdr:row>
          <xdr:rowOff>0</xdr:rowOff>
        </xdr:to>
        <xdr:sp macro="" textlink="">
          <xdr:nvSpPr>
            <xdr:cNvPr id="16448" name="Group Box 64" hidden="1">
              <a:extLst>
                <a:ext uri="{63B3BB69-23CF-44E3-9099-C40C66FF867C}">
                  <a14:compatExt spid="_x0000_s16448"/>
                </a:ext>
                <a:ext uri="{FF2B5EF4-FFF2-40B4-BE49-F238E27FC236}">
                  <a16:creationId xmlns:a16="http://schemas.microsoft.com/office/drawing/2014/main" id="{00000000-0008-0000-0A00-00004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122</xdr:row>
          <xdr:rowOff>47625</xdr:rowOff>
        </xdr:from>
        <xdr:to>
          <xdr:col>3</xdr:col>
          <xdr:colOff>885825</xdr:colOff>
          <xdr:row>122</xdr:row>
          <xdr:rowOff>209550</xdr:rowOff>
        </xdr:to>
        <xdr:sp macro="" textlink="">
          <xdr:nvSpPr>
            <xdr:cNvPr id="16449" name="Option Button 65" hidden="1">
              <a:extLst>
                <a:ext uri="{63B3BB69-23CF-44E3-9099-C40C66FF867C}">
                  <a14:compatExt spid="_x0000_s16449"/>
                </a:ext>
                <a:ext uri="{FF2B5EF4-FFF2-40B4-BE49-F238E27FC236}">
                  <a16:creationId xmlns:a16="http://schemas.microsoft.com/office/drawing/2014/main" id="{00000000-0008-0000-0A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122</xdr:row>
          <xdr:rowOff>38100</xdr:rowOff>
        </xdr:from>
        <xdr:to>
          <xdr:col>4</xdr:col>
          <xdr:colOff>914400</xdr:colOff>
          <xdr:row>122</xdr:row>
          <xdr:rowOff>200025</xdr:rowOff>
        </xdr:to>
        <xdr:sp macro="" textlink="">
          <xdr:nvSpPr>
            <xdr:cNvPr id="16450" name="Option Button 66" hidden="1">
              <a:extLst>
                <a:ext uri="{63B3BB69-23CF-44E3-9099-C40C66FF867C}">
                  <a14:compatExt spid="_x0000_s16450"/>
                </a:ext>
                <a:ext uri="{FF2B5EF4-FFF2-40B4-BE49-F238E27FC236}">
                  <a16:creationId xmlns:a16="http://schemas.microsoft.com/office/drawing/2014/main" id="{00000000-0008-0000-0A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5</xdr:col>
          <xdr:colOff>0</xdr:colOff>
          <xdr:row>5</xdr:row>
          <xdr:rowOff>0</xdr:rowOff>
        </xdr:to>
        <xdr:sp macro="" textlink="">
          <xdr:nvSpPr>
            <xdr:cNvPr id="16451" name="Group Box 67" hidden="1">
              <a:extLst>
                <a:ext uri="{63B3BB69-23CF-44E3-9099-C40C66FF867C}">
                  <a14:compatExt spid="_x0000_s16451"/>
                </a:ext>
                <a:ext uri="{FF2B5EF4-FFF2-40B4-BE49-F238E27FC236}">
                  <a16:creationId xmlns:a16="http://schemas.microsoft.com/office/drawing/2014/main" id="{00000000-0008-0000-0A00-00004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4</xdr:row>
          <xdr:rowOff>19050</xdr:rowOff>
        </xdr:from>
        <xdr:to>
          <xdr:col>3</xdr:col>
          <xdr:colOff>904875</xdr:colOff>
          <xdr:row>4</xdr:row>
          <xdr:rowOff>228600</xdr:rowOff>
        </xdr:to>
        <xdr:sp macro="" textlink="">
          <xdr:nvSpPr>
            <xdr:cNvPr id="16452" name="Option Button 68" hidden="1">
              <a:extLst>
                <a:ext uri="{63B3BB69-23CF-44E3-9099-C40C66FF867C}">
                  <a14:compatExt spid="_x0000_s16452"/>
                </a:ext>
                <a:ext uri="{FF2B5EF4-FFF2-40B4-BE49-F238E27FC236}">
                  <a16:creationId xmlns:a16="http://schemas.microsoft.com/office/drawing/2014/main" id="{00000000-0008-0000-0A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xdr:row>
          <xdr:rowOff>28575</xdr:rowOff>
        </xdr:from>
        <xdr:to>
          <xdr:col>4</xdr:col>
          <xdr:colOff>904875</xdr:colOff>
          <xdr:row>4</xdr:row>
          <xdr:rowOff>238125</xdr:rowOff>
        </xdr:to>
        <xdr:sp macro="" textlink="">
          <xdr:nvSpPr>
            <xdr:cNvPr id="16453" name="Option Button 69" hidden="1">
              <a:extLst>
                <a:ext uri="{63B3BB69-23CF-44E3-9099-C40C66FF867C}">
                  <a14:compatExt spid="_x0000_s16453"/>
                </a:ext>
                <a:ext uri="{FF2B5EF4-FFF2-40B4-BE49-F238E27FC236}">
                  <a16:creationId xmlns:a16="http://schemas.microsoft.com/office/drawing/2014/main" id="{00000000-0008-0000-0A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5</xdr:col>
          <xdr:colOff>0</xdr:colOff>
          <xdr:row>6</xdr:row>
          <xdr:rowOff>0</xdr:rowOff>
        </xdr:to>
        <xdr:sp macro="" textlink="">
          <xdr:nvSpPr>
            <xdr:cNvPr id="16454" name="Group Box 70" hidden="1">
              <a:extLst>
                <a:ext uri="{63B3BB69-23CF-44E3-9099-C40C66FF867C}">
                  <a14:compatExt spid="_x0000_s16454"/>
                </a:ext>
                <a:ext uri="{FF2B5EF4-FFF2-40B4-BE49-F238E27FC236}">
                  <a16:creationId xmlns:a16="http://schemas.microsoft.com/office/drawing/2014/main" id="{00000000-0008-0000-0A00-00004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5</xdr:row>
          <xdr:rowOff>19050</xdr:rowOff>
        </xdr:from>
        <xdr:to>
          <xdr:col>3</xdr:col>
          <xdr:colOff>914400</xdr:colOff>
          <xdr:row>5</xdr:row>
          <xdr:rowOff>219075</xdr:rowOff>
        </xdr:to>
        <xdr:sp macro="" textlink="">
          <xdr:nvSpPr>
            <xdr:cNvPr id="16455" name="Option Button 71" hidden="1">
              <a:extLst>
                <a:ext uri="{63B3BB69-23CF-44E3-9099-C40C66FF867C}">
                  <a14:compatExt spid="_x0000_s16455"/>
                </a:ext>
                <a:ext uri="{FF2B5EF4-FFF2-40B4-BE49-F238E27FC236}">
                  <a16:creationId xmlns:a16="http://schemas.microsoft.com/office/drawing/2014/main" id="{00000000-0008-0000-0A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xdr:row>
          <xdr:rowOff>28575</xdr:rowOff>
        </xdr:from>
        <xdr:to>
          <xdr:col>4</xdr:col>
          <xdr:colOff>876300</xdr:colOff>
          <xdr:row>5</xdr:row>
          <xdr:rowOff>228600</xdr:rowOff>
        </xdr:to>
        <xdr:sp macro="" textlink="">
          <xdr:nvSpPr>
            <xdr:cNvPr id="16456" name="Option Button 72" hidden="1">
              <a:extLst>
                <a:ext uri="{63B3BB69-23CF-44E3-9099-C40C66FF867C}">
                  <a14:compatExt spid="_x0000_s16456"/>
                </a:ext>
                <a:ext uri="{FF2B5EF4-FFF2-40B4-BE49-F238E27FC236}">
                  <a16:creationId xmlns:a16="http://schemas.microsoft.com/office/drawing/2014/main" id="{00000000-0008-0000-0A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5</xdr:col>
          <xdr:colOff>0</xdr:colOff>
          <xdr:row>7</xdr:row>
          <xdr:rowOff>0</xdr:rowOff>
        </xdr:to>
        <xdr:sp macro="" textlink="">
          <xdr:nvSpPr>
            <xdr:cNvPr id="16457" name="Group Box 73" hidden="1">
              <a:extLst>
                <a:ext uri="{63B3BB69-23CF-44E3-9099-C40C66FF867C}">
                  <a14:compatExt spid="_x0000_s16457"/>
                </a:ext>
                <a:ext uri="{FF2B5EF4-FFF2-40B4-BE49-F238E27FC236}">
                  <a16:creationId xmlns:a16="http://schemas.microsoft.com/office/drawing/2014/main" id="{00000000-0008-0000-0A00-00004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6</xdr:row>
          <xdr:rowOff>28575</xdr:rowOff>
        </xdr:from>
        <xdr:to>
          <xdr:col>3</xdr:col>
          <xdr:colOff>895350</xdr:colOff>
          <xdr:row>6</xdr:row>
          <xdr:rowOff>228600</xdr:rowOff>
        </xdr:to>
        <xdr:sp macro="" textlink="">
          <xdr:nvSpPr>
            <xdr:cNvPr id="16458" name="Option Button 74" hidden="1">
              <a:extLst>
                <a:ext uri="{63B3BB69-23CF-44E3-9099-C40C66FF867C}">
                  <a14:compatExt spid="_x0000_s16458"/>
                </a:ext>
                <a:ext uri="{FF2B5EF4-FFF2-40B4-BE49-F238E27FC236}">
                  <a16:creationId xmlns:a16="http://schemas.microsoft.com/office/drawing/2014/main" id="{00000000-0008-0000-0A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xdr:row>
          <xdr:rowOff>28575</xdr:rowOff>
        </xdr:from>
        <xdr:to>
          <xdr:col>4</xdr:col>
          <xdr:colOff>895350</xdr:colOff>
          <xdr:row>6</xdr:row>
          <xdr:rowOff>228600</xdr:rowOff>
        </xdr:to>
        <xdr:sp macro="" textlink="">
          <xdr:nvSpPr>
            <xdr:cNvPr id="16459" name="Option Button 75" hidden="1">
              <a:extLst>
                <a:ext uri="{63B3BB69-23CF-44E3-9099-C40C66FF867C}">
                  <a14:compatExt spid="_x0000_s16459"/>
                </a:ext>
                <a:ext uri="{FF2B5EF4-FFF2-40B4-BE49-F238E27FC236}">
                  <a16:creationId xmlns:a16="http://schemas.microsoft.com/office/drawing/2014/main" id="{00000000-0008-0000-0A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53</xdr:row>
          <xdr:rowOff>0</xdr:rowOff>
        </xdr:from>
        <xdr:to>
          <xdr:col>4</xdr:col>
          <xdr:colOff>952500</xdr:colOff>
          <xdr:row>54</xdr:row>
          <xdr:rowOff>0</xdr:rowOff>
        </xdr:to>
        <xdr:sp macro="" textlink="">
          <xdr:nvSpPr>
            <xdr:cNvPr id="16460" name="Group Box 76" hidden="1">
              <a:extLst>
                <a:ext uri="{63B3BB69-23CF-44E3-9099-C40C66FF867C}">
                  <a14:compatExt spid="_x0000_s16460"/>
                </a:ext>
                <a:ext uri="{FF2B5EF4-FFF2-40B4-BE49-F238E27FC236}">
                  <a16:creationId xmlns:a16="http://schemas.microsoft.com/office/drawing/2014/main" id="{00000000-0008-0000-0A00-00004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53</xdr:row>
          <xdr:rowOff>28575</xdr:rowOff>
        </xdr:from>
        <xdr:to>
          <xdr:col>3</xdr:col>
          <xdr:colOff>971550</xdr:colOff>
          <xdr:row>53</xdr:row>
          <xdr:rowOff>209550</xdr:rowOff>
        </xdr:to>
        <xdr:sp macro="" textlink="">
          <xdr:nvSpPr>
            <xdr:cNvPr id="16461" name="Option Button 77" hidden="1">
              <a:extLst>
                <a:ext uri="{63B3BB69-23CF-44E3-9099-C40C66FF867C}">
                  <a14:compatExt spid="_x0000_s16461"/>
                </a:ext>
                <a:ext uri="{FF2B5EF4-FFF2-40B4-BE49-F238E27FC236}">
                  <a16:creationId xmlns:a16="http://schemas.microsoft.com/office/drawing/2014/main" id="{00000000-0008-0000-0A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53</xdr:row>
          <xdr:rowOff>28575</xdr:rowOff>
        </xdr:from>
        <xdr:to>
          <xdr:col>4</xdr:col>
          <xdr:colOff>885825</xdr:colOff>
          <xdr:row>53</xdr:row>
          <xdr:rowOff>219075</xdr:rowOff>
        </xdr:to>
        <xdr:sp macro="" textlink="">
          <xdr:nvSpPr>
            <xdr:cNvPr id="16462" name="Option Button 78" hidden="1">
              <a:extLst>
                <a:ext uri="{63B3BB69-23CF-44E3-9099-C40C66FF867C}">
                  <a14:compatExt spid="_x0000_s16462"/>
                </a:ext>
                <a:ext uri="{FF2B5EF4-FFF2-40B4-BE49-F238E27FC236}">
                  <a16:creationId xmlns:a16="http://schemas.microsoft.com/office/drawing/2014/main" id="{00000000-0008-0000-0A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9525</xdr:rowOff>
        </xdr:from>
        <xdr:to>
          <xdr:col>5</xdr:col>
          <xdr:colOff>0</xdr:colOff>
          <xdr:row>55</xdr:row>
          <xdr:rowOff>0</xdr:rowOff>
        </xdr:to>
        <xdr:sp macro="" textlink="">
          <xdr:nvSpPr>
            <xdr:cNvPr id="16463" name="Group Box 79" hidden="1">
              <a:extLst>
                <a:ext uri="{63B3BB69-23CF-44E3-9099-C40C66FF867C}">
                  <a14:compatExt spid="_x0000_s16463"/>
                </a:ext>
                <a:ext uri="{FF2B5EF4-FFF2-40B4-BE49-F238E27FC236}">
                  <a16:creationId xmlns:a16="http://schemas.microsoft.com/office/drawing/2014/main" id="{00000000-0008-0000-0A00-00004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54</xdr:row>
          <xdr:rowOff>38100</xdr:rowOff>
        </xdr:from>
        <xdr:to>
          <xdr:col>3</xdr:col>
          <xdr:colOff>942975</xdr:colOff>
          <xdr:row>54</xdr:row>
          <xdr:rowOff>209550</xdr:rowOff>
        </xdr:to>
        <xdr:sp macro="" textlink="">
          <xdr:nvSpPr>
            <xdr:cNvPr id="16464" name="Option Button 80" hidden="1">
              <a:extLst>
                <a:ext uri="{63B3BB69-23CF-44E3-9099-C40C66FF867C}">
                  <a14:compatExt spid="_x0000_s16464"/>
                </a:ext>
                <a:ext uri="{FF2B5EF4-FFF2-40B4-BE49-F238E27FC236}">
                  <a16:creationId xmlns:a16="http://schemas.microsoft.com/office/drawing/2014/main" id="{00000000-0008-0000-0A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54</xdr:row>
          <xdr:rowOff>38100</xdr:rowOff>
        </xdr:from>
        <xdr:to>
          <xdr:col>4</xdr:col>
          <xdr:colOff>885825</xdr:colOff>
          <xdr:row>54</xdr:row>
          <xdr:rowOff>209550</xdr:rowOff>
        </xdr:to>
        <xdr:sp macro="" textlink="">
          <xdr:nvSpPr>
            <xdr:cNvPr id="16465" name="Option Button 81" hidden="1">
              <a:extLst>
                <a:ext uri="{63B3BB69-23CF-44E3-9099-C40C66FF867C}">
                  <a14:compatExt spid="_x0000_s16465"/>
                </a:ext>
                <a:ext uri="{FF2B5EF4-FFF2-40B4-BE49-F238E27FC236}">
                  <a16:creationId xmlns:a16="http://schemas.microsoft.com/office/drawing/2014/main" id="{00000000-0008-0000-0A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1905000</xdr:colOff>
          <xdr:row>55</xdr:row>
          <xdr:rowOff>19050</xdr:rowOff>
        </xdr:from>
        <xdr:to>
          <xdr:col>5</xdr:col>
          <xdr:colOff>0</xdr:colOff>
          <xdr:row>56</xdr:row>
          <xdr:rowOff>0</xdr:rowOff>
        </xdr:to>
        <xdr:sp macro="" textlink="">
          <xdr:nvSpPr>
            <xdr:cNvPr id="16466" name="Group Box 82" hidden="1">
              <a:extLst>
                <a:ext uri="{63B3BB69-23CF-44E3-9099-C40C66FF867C}">
                  <a14:compatExt spid="_x0000_s16466"/>
                </a:ext>
                <a:ext uri="{FF2B5EF4-FFF2-40B4-BE49-F238E27FC236}">
                  <a16:creationId xmlns:a16="http://schemas.microsoft.com/office/drawing/2014/main" id="{00000000-0008-0000-0A00-00005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55</xdr:row>
          <xdr:rowOff>47625</xdr:rowOff>
        </xdr:from>
        <xdr:to>
          <xdr:col>4</xdr:col>
          <xdr:colOff>0</xdr:colOff>
          <xdr:row>55</xdr:row>
          <xdr:rowOff>238125</xdr:rowOff>
        </xdr:to>
        <xdr:sp macro="" textlink="">
          <xdr:nvSpPr>
            <xdr:cNvPr id="16467" name="Option Button 83" hidden="1">
              <a:extLst>
                <a:ext uri="{63B3BB69-23CF-44E3-9099-C40C66FF867C}">
                  <a14:compatExt spid="_x0000_s16467"/>
                </a:ext>
                <a:ext uri="{FF2B5EF4-FFF2-40B4-BE49-F238E27FC236}">
                  <a16:creationId xmlns:a16="http://schemas.microsoft.com/office/drawing/2014/main" id="{00000000-0008-0000-0A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55</xdr:row>
          <xdr:rowOff>57150</xdr:rowOff>
        </xdr:from>
        <xdr:to>
          <xdr:col>4</xdr:col>
          <xdr:colOff>914400</xdr:colOff>
          <xdr:row>55</xdr:row>
          <xdr:rowOff>238125</xdr:rowOff>
        </xdr:to>
        <xdr:sp macro="" textlink="">
          <xdr:nvSpPr>
            <xdr:cNvPr id="16468" name="Option Button 84" hidden="1">
              <a:extLst>
                <a:ext uri="{63B3BB69-23CF-44E3-9099-C40C66FF867C}">
                  <a14:compatExt spid="_x0000_s16468"/>
                </a:ext>
                <a:ext uri="{FF2B5EF4-FFF2-40B4-BE49-F238E27FC236}">
                  <a16:creationId xmlns:a16="http://schemas.microsoft.com/office/drawing/2014/main" id="{00000000-0008-0000-0A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9525</xdr:rowOff>
        </xdr:from>
        <xdr:to>
          <xdr:col>5</xdr:col>
          <xdr:colOff>0</xdr:colOff>
          <xdr:row>57</xdr:row>
          <xdr:rowOff>0</xdr:rowOff>
        </xdr:to>
        <xdr:sp macro="" textlink="">
          <xdr:nvSpPr>
            <xdr:cNvPr id="16469" name="Group Box 85" hidden="1">
              <a:extLst>
                <a:ext uri="{63B3BB69-23CF-44E3-9099-C40C66FF867C}">
                  <a14:compatExt spid="_x0000_s16469"/>
                </a:ext>
                <a:ext uri="{FF2B5EF4-FFF2-40B4-BE49-F238E27FC236}">
                  <a16:creationId xmlns:a16="http://schemas.microsoft.com/office/drawing/2014/main" id="{00000000-0008-0000-0A00-00005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56</xdr:row>
          <xdr:rowOff>19050</xdr:rowOff>
        </xdr:from>
        <xdr:to>
          <xdr:col>3</xdr:col>
          <xdr:colOff>942975</xdr:colOff>
          <xdr:row>56</xdr:row>
          <xdr:rowOff>219075</xdr:rowOff>
        </xdr:to>
        <xdr:sp macro="" textlink="">
          <xdr:nvSpPr>
            <xdr:cNvPr id="16470" name="Option Button 86" hidden="1">
              <a:extLst>
                <a:ext uri="{63B3BB69-23CF-44E3-9099-C40C66FF867C}">
                  <a14:compatExt spid="_x0000_s16470"/>
                </a:ext>
                <a:ext uri="{FF2B5EF4-FFF2-40B4-BE49-F238E27FC236}">
                  <a16:creationId xmlns:a16="http://schemas.microsoft.com/office/drawing/2014/main" id="{00000000-0008-0000-0A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56</xdr:row>
          <xdr:rowOff>28575</xdr:rowOff>
        </xdr:from>
        <xdr:to>
          <xdr:col>4</xdr:col>
          <xdr:colOff>885825</xdr:colOff>
          <xdr:row>56</xdr:row>
          <xdr:rowOff>219075</xdr:rowOff>
        </xdr:to>
        <xdr:sp macro="" textlink="">
          <xdr:nvSpPr>
            <xdr:cNvPr id="16471" name="Option Button 87" hidden="1">
              <a:extLst>
                <a:ext uri="{63B3BB69-23CF-44E3-9099-C40C66FF867C}">
                  <a14:compatExt spid="_x0000_s16471"/>
                </a:ext>
                <a:ext uri="{FF2B5EF4-FFF2-40B4-BE49-F238E27FC236}">
                  <a16:creationId xmlns:a16="http://schemas.microsoft.com/office/drawing/2014/main" id="{00000000-0008-0000-0A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5</xdr:col>
          <xdr:colOff>0</xdr:colOff>
          <xdr:row>111</xdr:row>
          <xdr:rowOff>0</xdr:rowOff>
        </xdr:to>
        <xdr:sp macro="" textlink="">
          <xdr:nvSpPr>
            <xdr:cNvPr id="16472" name="Group Box 88" hidden="1">
              <a:extLst>
                <a:ext uri="{63B3BB69-23CF-44E3-9099-C40C66FF867C}">
                  <a14:compatExt spid="_x0000_s16472"/>
                </a:ext>
                <a:ext uri="{FF2B5EF4-FFF2-40B4-BE49-F238E27FC236}">
                  <a16:creationId xmlns:a16="http://schemas.microsoft.com/office/drawing/2014/main" id="{00000000-0008-0000-0A00-000058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110</xdr:row>
          <xdr:rowOff>28575</xdr:rowOff>
        </xdr:from>
        <xdr:to>
          <xdr:col>3</xdr:col>
          <xdr:colOff>952500</xdr:colOff>
          <xdr:row>110</xdr:row>
          <xdr:rowOff>228600</xdr:rowOff>
        </xdr:to>
        <xdr:sp macro="" textlink="">
          <xdr:nvSpPr>
            <xdr:cNvPr id="16473" name="Option Button 89" hidden="1">
              <a:extLst>
                <a:ext uri="{63B3BB69-23CF-44E3-9099-C40C66FF867C}">
                  <a14:compatExt spid="_x0000_s16473"/>
                </a:ext>
                <a:ext uri="{FF2B5EF4-FFF2-40B4-BE49-F238E27FC236}">
                  <a16:creationId xmlns:a16="http://schemas.microsoft.com/office/drawing/2014/main" id="{00000000-0008-0000-0A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110</xdr:row>
          <xdr:rowOff>38100</xdr:rowOff>
        </xdr:from>
        <xdr:to>
          <xdr:col>4</xdr:col>
          <xdr:colOff>876300</xdr:colOff>
          <xdr:row>110</xdr:row>
          <xdr:rowOff>228600</xdr:rowOff>
        </xdr:to>
        <xdr:sp macro="" textlink="">
          <xdr:nvSpPr>
            <xdr:cNvPr id="16474" name="Option Button 90" hidden="1">
              <a:extLst>
                <a:ext uri="{63B3BB69-23CF-44E3-9099-C40C66FF867C}">
                  <a14:compatExt spid="_x0000_s16474"/>
                </a:ext>
                <a:ext uri="{FF2B5EF4-FFF2-40B4-BE49-F238E27FC236}">
                  <a16:creationId xmlns:a16="http://schemas.microsoft.com/office/drawing/2014/main" id="{00000000-0008-0000-0A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9525</xdr:rowOff>
        </xdr:from>
        <xdr:to>
          <xdr:col>5</xdr:col>
          <xdr:colOff>0</xdr:colOff>
          <xdr:row>112</xdr:row>
          <xdr:rowOff>0</xdr:rowOff>
        </xdr:to>
        <xdr:sp macro="" textlink="">
          <xdr:nvSpPr>
            <xdr:cNvPr id="16475" name="Group Box 91" hidden="1">
              <a:extLst>
                <a:ext uri="{63B3BB69-23CF-44E3-9099-C40C66FF867C}">
                  <a14:compatExt spid="_x0000_s16475"/>
                </a:ext>
                <a:ext uri="{FF2B5EF4-FFF2-40B4-BE49-F238E27FC236}">
                  <a16:creationId xmlns:a16="http://schemas.microsoft.com/office/drawing/2014/main" id="{00000000-0008-0000-0A00-00005B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111</xdr:row>
          <xdr:rowOff>19050</xdr:rowOff>
        </xdr:from>
        <xdr:to>
          <xdr:col>3</xdr:col>
          <xdr:colOff>962025</xdr:colOff>
          <xdr:row>111</xdr:row>
          <xdr:rowOff>209550</xdr:rowOff>
        </xdr:to>
        <xdr:sp macro="" textlink="">
          <xdr:nvSpPr>
            <xdr:cNvPr id="16476" name="Option Button 92" hidden="1">
              <a:extLst>
                <a:ext uri="{63B3BB69-23CF-44E3-9099-C40C66FF867C}">
                  <a14:compatExt spid="_x0000_s16476"/>
                </a:ext>
                <a:ext uri="{FF2B5EF4-FFF2-40B4-BE49-F238E27FC236}">
                  <a16:creationId xmlns:a16="http://schemas.microsoft.com/office/drawing/2014/main" id="{00000000-0008-0000-0A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111</xdr:row>
          <xdr:rowOff>19050</xdr:rowOff>
        </xdr:from>
        <xdr:to>
          <xdr:col>4</xdr:col>
          <xdr:colOff>866775</xdr:colOff>
          <xdr:row>111</xdr:row>
          <xdr:rowOff>209550</xdr:rowOff>
        </xdr:to>
        <xdr:sp macro="" textlink="">
          <xdr:nvSpPr>
            <xdr:cNvPr id="16477" name="Option Button 93" hidden="1">
              <a:extLst>
                <a:ext uri="{63B3BB69-23CF-44E3-9099-C40C66FF867C}">
                  <a14:compatExt spid="_x0000_s16477"/>
                </a:ext>
                <a:ext uri="{FF2B5EF4-FFF2-40B4-BE49-F238E27FC236}">
                  <a16:creationId xmlns:a16="http://schemas.microsoft.com/office/drawing/2014/main" id="{00000000-0008-0000-0A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9525</xdr:rowOff>
        </xdr:from>
        <xdr:to>
          <xdr:col>5</xdr:col>
          <xdr:colOff>0</xdr:colOff>
          <xdr:row>113</xdr:row>
          <xdr:rowOff>0</xdr:rowOff>
        </xdr:to>
        <xdr:sp macro="" textlink="">
          <xdr:nvSpPr>
            <xdr:cNvPr id="16478" name="Group Box 94" hidden="1">
              <a:extLst>
                <a:ext uri="{63B3BB69-23CF-44E3-9099-C40C66FF867C}">
                  <a14:compatExt spid="_x0000_s16478"/>
                </a:ext>
                <a:ext uri="{FF2B5EF4-FFF2-40B4-BE49-F238E27FC236}">
                  <a16:creationId xmlns:a16="http://schemas.microsoft.com/office/drawing/2014/main" id="{00000000-0008-0000-0A00-00005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112</xdr:row>
          <xdr:rowOff>28575</xdr:rowOff>
        </xdr:from>
        <xdr:to>
          <xdr:col>3</xdr:col>
          <xdr:colOff>962025</xdr:colOff>
          <xdr:row>112</xdr:row>
          <xdr:rowOff>228600</xdr:rowOff>
        </xdr:to>
        <xdr:sp macro="" textlink="">
          <xdr:nvSpPr>
            <xdr:cNvPr id="16479" name="Option Button 95" hidden="1">
              <a:extLst>
                <a:ext uri="{63B3BB69-23CF-44E3-9099-C40C66FF867C}">
                  <a14:compatExt spid="_x0000_s16479"/>
                </a:ext>
                <a:ext uri="{FF2B5EF4-FFF2-40B4-BE49-F238E27FC236}">
                  <a16:creationId xmlns:a16="http://schemas.microsoft.com/office/drawing/2014/main" id="{00000000-0008-0000-0A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112</xdr:row>
          <xdr:rowOff>28575</xdr:rowOff>
        </xdr:from>
        <xdr:to>
          <xdr:col>4</xdr:col>
          <xdr:colOff>857250</xdr:colOff>
          <xdr:row>112</xdr:row>
          <xdr:rowOff>228600</xdr:rowOff>
        </xdr:to>
        <xdr:sp macro="" textlink="">
          <xdr:nvSpPr>
            <xdr:cNvPr id="16480" name="Option Button 96" hidden="1">
              <a:extLst>
                <a:ext uri="{63B3BB69-23CF-44E3-9099-C40C66FF867C}">
                  <a14:compatExt spid="_x0000_s16480"/>
                </a:ext>
                <a:ext uri="{FF2B5EF4-FFF2-40B4-BE49-F238E27FC236}">
                  <a16:creationId xmlns:a16="http://schemas.microsoft.com/office/drawing/2014/main" id="{00000000-0008-0000-0A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9525</xdr:rowOff>
        </xdr:from>
        <xdr:to>
          <xdr:col>5</xdr:col>
          <xdr:colOff>0</xdr:colOff>
          <xdr:row>114</xdr:row>
          <xdr:rowOff>0</xdr:rowOff>
        </xdr:to>
        <xdr:sp macro="" textlink="">
          <xdr:nvSpPr>
            <xdr:cNvPr id="16481" name="Group Box 97" hidden="1">
              <a:extLst>
                <a:ext uri="{63B3BB69-23CF-44E3-9099-C40C66FF867C}">
                  <a14:compatExt spid="_x0000_s16481"/>
                </a:ext>
                <a:ext uri="{FF2B5EF4-FFF2-40B4-BE49-F238E27FC236}">
                  <a16:creationId xmlns:a16="http://schemas.microsoft.com/office/drawing/2014/main" id="{00000000-0008-0000-0A00-00006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113</xdr:row>
          <xdr:rowOff>28575</xdr:rowOff>
        </xdr:from>
        <xdr:to>
          <xdr:col>4</xdr:col>
          <xdr:colOff>0</xdr:colOff>
          <xdr:row>113</xdr:row>
          <xdr:rowOff>219075</xdr:rowOff>
        </xdr:to>
        <xdr:sp macro="" textlink="">
          <xdr:nvSpPr>
            <xdr:cNvPr id="16482" name="Option Button 98" hidden="1">
              <a:extLst>
                <a:ext uri="{63B3BB69-23CF-44E3-9099-C40C66FF867C}">
                  <a14:compatExt spid="_x0000_s16482"/>
                </a:ext>
                <a:ext uri="{FF2B5EF4-FFF2-40B4-BE49-F238E27FC236}">
                  <a16:creationId xmlns:a16="http://schemas.microsoft.com/office/drawing/2014/main" id="{00000000-0008-0000-0A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113</xdr:row>
          <xdr:rowOff>28575</xdr:rowOff>
        </xdr:from>
        <xdr:to>
          <xdr:col>4</xdr:col>
          <xdr:colOff>866775</xdr:colOff>
          <xdr:row>113</xdr:row>
          <xdr:rowOff>228600</xdr:rowOff>
        </xdr:to>
        <xdr:sp macro="" textlink="">
          <xdr:nvSpPr>
            <xdr:cNvPr id="16483" name="Option Button 99" hidden="1">
              <a:extLst>
                <a:ext uri="{63B3BB69-23CF-44E3-9099-C40C66FF867C}">
                  <a14:compatExt spid="_x0000_s16483"/>
                </a:ext>
                <a:ext uri="{FF2B5EF4-FFF2-40B4-BE49-F238E27FC236}">
                  <a16:creationId xmlns:a16="http://schemas.microsoft.com/office/drawing/2014/main" id="{00000000-0008-0000-0A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9525</xdr:rowOff>
        </xdr:from>
        <xdr:to>
          <xdr:col>5</xdr:col>
          <xdr:colOff>0</xdr:colOff>
          <xdr:row>115</xdr:row>
          <xdr:rowOff>0</xdr:rowOff>
        </xdr:to>
        <xdr:sp macro="" textlink="">
          <xdr:nvSpPr>
            <xdr:cNvPr id="16484" name="Group Box 100" hidden="1">
              <a:extLst>
                <a:ext uri="{63B3BB69-23CF-44E3-9099-C40C66FF867C}">
                  <a14:compatExt spid="_x0000_s16484"/>
                </a:ext>
                <a:ext uri="{FF2B5EF4-FFF2-40B4-BE49-F238E27FC236}">
                  <a16:creationId xmlns:a16="http://schemas.microsoft.com/office/drawing/2014/main" id="{00000000-0008-0000-0A00-00006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114</xdr:row>
          <xdr:rowOff>28575</xdr:rowOff>
        </xdr:from>
        <xdr:to>
          <xdr:col>3</xdr:col>
          <xdr:colOff>962025</xdr:colOff>
          <xdr:row>114</xdr:row>
          <xdr:rowOff>228600</xdr:rowOff>
        </xdr:to>
        <xdr:sp macro="" textlink="">
          <xdr:nvSpPr>
            <xdr:cNvPr id="16485" name="Option Button 101" hidden="1">
              <a:extLst>
                <a:ext uri="{63B3BB69-23CF-44E3-9099-C40C66FF867C}">
                  <a14:compatExt spid="_x0000_s16485"/>
                </a:ext>
                <a:ext uri="{FF2B5EF4-FFF2-40B4-BE49-F238E27FC236}">
                  <a16:creationId xmlns:a16="http://schemas.microsoft.com/office/drawing/2014/main" id="{00000000-0008-0000-0A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114</xdr:row>
          <xdr:rowOff>38100</xdr:rowOff>
        </xdr:from>
        <xdr:to>
          <xdr:col>4</xdr:col>
          <xdr:colOff>876300</xdr:colOff>
          <xdr:row>114</xdr:row>
          <xdr:rowOff>228600</xdr:rowOff>
        </xdr:to>
        <xdr:sp macro="" textlink="">
          <xdr:nvSpPr>
            <xdr:cNvPr id="16486" name="Option Button 102" hidden="1">
              <a:extLst>
                <a:ext uri="{63B3BB69-23CF-44E3-9099-C40C66FF867C}">
                  <a14:compatExt spid="_x0000_s16486"/>
                </a:ext>
                <a:ext uri="{FF2B5EF4-FFF2-40B4-BE49-F238E27FC236}">
                  <a16:creationId xmlns:a16="http://schemas.microsoft.com/office/drawing/2014/main" id="{00000000-0008-0000-0A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119</xdr:row>
          <xdr:rowOff>38100</xdr:rowOff>
        </xdr:from>
        <xdr:to>
          <xdr:col>3</xdr:col>
          <xdr:colOff>895350</xdr:colOff>
          <xdr:row>119</xdr:row>
          <xdr:rowOff>209550</xdr:rowOff>
        </xdr:to>
        <xdr:sp macro="" textlink="">
          <xdr:nvSpPr>
            <xdr:cNvPr id="16487" name="Option Button 103" hidden="1">
              <a:extLst>
                <a:ext uri="{63B3BB69-23CF-44E3-9099-C40C66FF867C}">
                  <a14:compatExt spid="_x0000_s16487"/>
                </a:ext>
                <a:ext uri="{FF2B5EF4-FFF2-40B4-BE49-F238E27FC236}">
                  <a16:creationId xmlns:a16="http://schemas.microsoft.com/office/drawing/2014/main" id="{00000000-0008-0000-0A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119</xdr:row>
          <xdr:rowOff>19050</xdr:rowOff>
        </xdr:from>
        <xdr:to>
          <xdr:col>4</xdr:col>
          <xdr:colOff>895350</xdr:colOff>
          <xdr:row>119</xdr:row>
          <xdr:rowOff>209550</xdr:rowOff>
        </xdr:to>
        <xdr:sp macro="" textlink="">
          <xdr:nvSpPr>
            <xdr:cNvPr id="16488" name="Option Button 104" hidden="1">
              <a:extLst>
                <a:ext uri="{63B3BB69-23CF-44E3-9099-C40C66FF867C}">
                  <a14:compatExt spid="_x0000_s16488"/>
                </a:ext>
                <a:ext uri="{FF2B5EF4-FFF2-40B4-BE49-F238E27FC236}">
                  <a16:creationId xmlns:a16="http://schemas.microsoft.com/office/drawing/2014/main" id="{00000000-0008-0000-0A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704850</xdr:colOff>
          <xdr:row>120</xdr:row>
          <xdr:rowOff>38100</xdr:rowOff>
        </xdr:from>
        <xdr:to>
          <xdr:col>3</xdr:col>
          <xdr:colOff>895350</xdr:colOff>
          <xdr:row>120</xdr:row>
          <xdr:rowOff>219075</xdr:rowOff>
        </xdr:to>
        <xdr:sp macro="" textlink="">
          <xdr:nvSpPr>
            <xdr:cNvPr id="16489" name="Option Button 105" hidden="1">
              <a:extLst>
                <a:ext uri="{63B3BB69-23CF-44E3-9099-C40C66FF867C}">
                  <a14:compatExt spid="_x0000_s16489"/>
                </a:ext>
                <a:ext uri="{FF2B5EF4-FFF2-40B4-BE49-F238E27FC236}">
                  <a16:creationId xmlns:a16="http://schemas.microsoft.com/office/drawing/2014/main" id="{00000000-0008-0000-0A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120</xdr:row>
          <xdr:rowOff>19050</xdr:rowOff>
        </xdr:from>
        <xdr:to>
          <xdr:col>4</xdr:col>
          <xdr:colOff>885825</xdr:colOff>
          <xdr:row>120</xdr:row>
          <xdr:rowOff>200025</xdr:rowOff>
        </xdr:to>
        <xdr:sp macro="" textlink="">
          <xdr:nvSpPr>
            <xdr:cNvPr id="16490" name="Option Button 106" hidden="1">
              <a:extLst>
                <a:ext uri="{63B3BB69-23CF-44E3-9099-C40C66FF867C}">
                  <a14:compatExt spid="_x0000_s16490"/>
                </a:ext>
                <a:ext uri="{FF2B5EF4-FFF2-40B4-BE49-F238E27FC236}">
                  <a16:creationId xmlns:a16="http://schemas.microsoft.com/office/drawing/2014/main" id="{00000000-0008-0000-0A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123</xdr:row>
          <xdr:rowOff>9525</xdr:rowOff>
        </xdr:from>
        <xdr:to>
          <xdr:col>5</xdr:col>
          <xdr:colOff>9525</xdr:colOff>
          <xdr:row>124</xdr:row>
          <xdr:rowOff>9525</xdr:rowOff>
        </xdr:to>
        <xdr:sp macro="" textlink="">
          <xdr:nvSpPr>
            <xdr:cNvPr id="16491" name="Group Box 107" hidden="1">
              <a:extLst>
                <a:ext uri="{63B3BB69-23CF-44E3-9099-C40C66FF867C}">
                  <a14:compatExt spid="_x0000_s16491"/>
                </a:ext>
                <a:ext uri="{FF2B5EF4-FFF2-40B4-BE49-F238E27FC236}">
                  <a16:creationId xmlns:a16="http://schemas.microsoft.com/office/drawing/2014/main" id="{00000000-0008-0000-0A00-00006B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123</xdr:row>
          <xdr:rowOff>38100</xdr:rowOff>
        </xdr:from>
        <xdr:to>
          <xdr:col>3</xdr:col>
          <xdr:colOff>933450</xdr:colOff>
          <xdr:row>123</xdr:row>
          <xdr:rowOff>200025</xdr:rowOff>
        </xdr:to>
        <xdr:sp macro="" textlink="">
          <xdr:nvSpPr>
            <xdr:cNvPr id="16492" name="Option Button 108" hidden="1">
              <a:extLst>
                <a:ext uri="{63B3BB69-23CF-44E3-9099-C40C66FF867C}">
                  <a14:compatExt spid="_x0000_s16492"/>
                </a:ext>
                <a:ext uri="{FF2B5EF4-FFF2-40B4-BE49-F238E27FC236}">
                  <a16:creationId xmlns:a16="http://schemas.microsoft.com/office/drawing/2014/main" id="{00000000-0008-0000-0A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123</xdr:row>
          <xdr:rowOff>38100</xdr:rowOff>
        </xdr:from>
        <xdr:to>
          <xdr:col>4</xdr:col>
          <xdr:colOff>914400</xdr:colOff>
          <xdr:row>123</xdr:row>
          <xdr:rowOff>219075</xdr:rowOff>
        </xdr:to>
        <xdr:sp macro="" textlink="">
          <xdr:nvSpPr>
            <xdr:cNvPr id="16493" name="Option Button 109" hidden="1">
              <a:extLst>
                <a:ext uri="{63B3BB69-23CF-44E3-9099-C40C66FF867C}">
                  <a14:compatExt spid="_x0000_s16493"/>
                </a:ext>
                <a:ext uri="{FF2B5EF4-FFF2-40B4-BE49-F238E27FC236}">
                  <a16:creationId xmlns:a16="http://schemas.microsoft.com/office/drawing/2014/main" id="{00000000-0008-0000-0A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0</xdr:rowOff>
        </xdr:from>
        <xdr:to>
          <xdr:col>5</xdr:col>
          <xdr:colOff>0</xdr:colOff>
          <xdr:row>32</xdr:row>
          <xdr:rowOff>0</xdr:rowOff>
        </xdr:to>
        <xdr:sp macro="" textlink="">
          <xdr:nvSpPr>
            <xdr:cNvPr id="16494" name="Group Box 110" hidden="1">
              <a:extLst>
                <a:ext uri="{63B3BB69-23CF-44E3-9099-C40C66FF867C}">
                  <a14:compatExt spid="_x0000_s16494"/>
                </a:ext>
                <a:ext uri="{FF2B5EF4-FFF2-40B4-BE49-F238E27FC236}">
                  <a16:creationId xmlns:a16="http://schemas.microsoft.com/office/drawing/2014/main" id="{00000000-0008-0000-0A00-00006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31</xdr:row>
          <xdr:rowOff>19050</xdr:rowOff>
        </xdr:from>
        <xdr:to>
          <xdr:col>3</xdr:col>
          <xdr:colOff>923925</xdr:colOff>
          <xdr:row>31</xdr:row>
          <xdr:rowOff>209550</xdr:rowOff>
        </xdr:to>
        <xdr:sp macro="" textlink="">
          <xdr:nvSpPr>
            <xdr:cNvPr id="16495" name="Option Button 111" hidden="1">
              <a:extLst>
                <a:ext uri="{63B3BB69-23CF-44E3-9099-C40C66FF867C}">
                  <a14:compatExt spid="_x0000_s16495"/>
                </a:ext>
                <a:ext uri="{FF2B5EF4-FFF2-40B4-BE49-F238E27FC236}">
                  <a16:creationId xmlns:a16="http://schemas.microsoft.com/office/drawing/2014/main" id="{00000000-0008-0000-0A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31</xdr:row>
          <xdr:rowOff>38100</xdr:rowOff>
        </xdr:from>
        <xdr:to>
          <xdr:col>4</xdr:col>
          <xdr:colOff>904875</xdr:colOff>
          <xdr:row>31</xdr:row>
          <xdr:rowOff>209550</xdr:rowOff>
        </xdr:to>
        <xdr:sp macro="" textlink="">
          <xdr:nvSpPr>
            <xdr:cNvPr id="16496" name="Option Button 112" hidden="1">
              <a:extLst>
                <a:ext uri="{63B3BB69-23CF-44E3-9099-C40C66FF867C}">
                  <a14:compatExt spid="_x0000_s16496"/>
                </a:ext>
                <a:ext uri="{FF2B5EF4-FFF2-40B4-BE49-F238E27FC236}">
                  <a16:creationId xmlns:a16="http://schemas.microsoft.com/office/drawing/2014/main" id="{00000000-0008-0000-0A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9525</xdr:rowOff>
        </xdr:from>
        <xdr:to>
          <xdr:col>5</xdr:col>
          <xdr:colOff>0</xdr:colOff>
          <xdr:row>33</xdr:row>
          <xdr:rowOff>0</xdr:rowOff>
        </xdr:to>
        <xdr:sp macro="" textlink="">
          <xdr:nvSpPr>
            <xdr:cNvPr id="16497" name="Group Box 113" hidden="1">
              <a:extLst>
                <a:ext uri="{63B3BB69-23CF-44E3-9099-C40C66FF867C}">
                  <a14:compatExt spid="_x0000_s16497"/>
                </a:ext>
                <a:ext uri="{FF2B5EF4-FFF2-40B4-BE49-F238E27FC236}">
                  <a16:creationId xmlns:a16="http://schemas.microsoft.com/office/drawing/2014/main" id="{00000000-0008-0000-0A00-00007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32</xdr:row>
          <xdr:rowOff>57150</xdr:rowOff>
        </xdr:from>
        <xdr:to>
          <xdr:col>3</xdr:col>
          <xdr:colOff>933450</xdr:colOff>
          <xdr:row>32</xdr:row>
          <xdr:rowOff>219075</xdr:rowOff>
        </xdr:to>
        <xdr:sp macro="" textlink="">
          <xdr:nvSpPr>
            <xdr:cNvPr id="16498" name="Option Button 114" hidden="1">
              <a:extLst>
                <a:ext uri="{63B3BB69-23CF-44E3-9099-C40C66FF867C}">
                  <a14:compatExt spid="_x0000_s16498"/>
                </a:ext>
                <a:ext uri="{FF2B5EF4-FFF2-40B4-BE49-F238E27FC236}">
                  <a16:creationId xmlns:a16="http://schemas.microsoft.com/office/drawing/2014/main" id="{00000000-0008-0000-0A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32</xdr:row>
          <xdr:rowOff>38100</xdr:rowOff>
        </xdr:from>
        <xdr:to>
          <xdr:col>4</xdr:col>
          <xdr:colOff>914400</xdr:colOff>
          <xdr:row>32</xdr:row>
          <xdr:rowOff>209550</xdr:rowOff>
        </xdr:to>
        <xdr:sp macro="" textlink="">
          <xdr:nvSpPr>
            <xdr:cNvPr id="16499" name="Option Button 115" hidden="1">
              <a:extLst>
                <a:ext uri="{63B3BB69-23CF-44E3-9099-C40C66FF867C}">
                  <a14:compatExt spid="_x0000_s16499"/>
                </a:ext>
                <a:ext uri="{FF2B5EF4-FFF2-40B4-BE49-F238E27FC236}">
                  <a16:creationId xmlns:a16="http://schemas.microsoft.com/office/drawing/2014/main" id="{00000000-0008-0000-0A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9525</xdr:rowOff>
        </xdr:from>
        <xdr:to>
          <xdr:col>5</xdr:col>
          <xdr:colOff>0</xdr:colOff>
          <xdr:row>34</xdr:row>
          <xdr:rowOff>0</xdr:rowOff>
        </xdr:to>
        <xdr:sp macro="" textlink="">
          <xdr:nvSpPr>
            <xdr:cNvPr id="16500" name="Group Box 116" hidden="1">
              <a:extLst>
                <a:ext uri="{63B3BB69-23CF-44E3-9099-C40C66FF867C}">
                  <a14:compatExt spid="_x0000_s16500"/>
                </a:ext>
                <a:ext uri="{FF2B5EF4-FFF2-40B4-BE49-F238E27FC236}">
                  <a16:creationId xmlns:a16="http://schemas.microsoft.com/office/drawing/2014/main" id="{00000000-0008-0000-0A00-00007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752475</xdr:colOff>
          <xdr:row>33</xdr:row>
          <xdr:rowOff>28575</xdr:rowOff>
        </xdr:from>
        <xdr:to>
          <xdr:col>3</xdr:col>
          <xdr:colOff>933450</xdr:colOff>
          <xdr:row>33</xdr:row>
          <xdr:rowOff>209550</xdr:rowOff>
        </xdr:to>
        <xdr:sp macro="" textlink="">
          <xdr:nvSpPr>
            <xdr:cNvPr id="16501" name="Option Button 117" hidden="1">
              <a:extLst>
                <a:ext uri="{63B3BB69-23CF-44E3-9099-C40C66FF867C}">
                  <a14:compatExt spid="_x0000_s16501"/>
                </a:ext>
                <a:ext uri="{FF2B5EF4-FFF2-40B4-BE49-F238E27FC236}">
                  <a16:creationId xmlns:a16="http://schemas.microsoft.com/office/drawing/2014/main" id="{00000000-0008-0000-0A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33</xdr:row>
          <xdr:rowOff>28575</xdr:rowOff>
        </xdr:from>
        <xdr:to>
          <xdr:col>4</xdr:col>
          <xdr:colOff>895350</xdr:colOff>
          <xdr:row>33</xdr:row>
          <xdr:rowOff>190500</xdr:rowOff>
        </xdr:to>
        <xdr:sp macro="" textlink="">
          <xdr:nvSpPr>
            <xdr:cNvPr id="16502" name="Option Button 118" hidden="1">
              <a:extLst>
                <a:ext uri="{63B3BB69-23CF-44E3-9099-C40C66FF867C}">
                  <a14:compatExt spid="_x0000_s16502"/>
                </a:ext>
                <a:ext uri="{FF2B5EF4-FFF2-40B4-BE49-F238E27FC236}">
                  <a16:creationId xmlns:a16="http://schemas.microsoft.com/office/drawing/2014/main" id="{00000000-0008-0000-0A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34</xdr:row>
          <xdr:rowOff>9525</xdr:rowOff>
        </xdr:from>
        <xdr:to>
          <xdr:col>5</xdr:col>
          <xdr:colOff>0</xdr:colOff>
          <xdr:row>35</xdr:row>
          <xdr:rowOff>0</xdr:rowOff>
        </xdr:to>
        <xdr:sp macro="" textlink="">
          <xdr:nvSpPr>
            <xdr:cNvPr id="16503" name="Group Box 119" hidden="1">
              <a:extLst>
                <a:ext uri="{63B3BB69-23CF-44E3-9099-C40C66FF867C}">
                  <a14:compatExt spid="_x0000_s16503"/>
                </a:ext>
                <a:ext uri="{FF2B5EF4-FFF2-40B4-BE49-F238E27FC236}">
                  <a16:creationId xmlns:a16="http://schemas.microsoft.com/office/drawing/2014/main" id="{00000000-0008-0000-0A00-00007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34</xdr:row>
          <xdr:rowOff>19050</xdr:rowOff>
        </xdr:from>
        <xdr:to>
          <xdr:col>3</xdr:col>
          <xdr:colOff>942975</xdr:colOff>
          <xdr:row>34</xdr:row>
          <xdr:rowOff>180975</xdr:rowOff>
        </xdr:to>
        <xdr:sp macro="" textlink="">
          <xdr:nvSpPr>
            <xdr:cNvPr id="16504" name="Option Button 120" hidden="1">
              <a:extLst>
                <a:ext uri="{63B3BB69-23CF-44E3-9099-C40C66FF867C}">
                  <a14:compatExt spid="_x0000_s16504"/>
                </a:ext>
                <a:ext uri="{FF2B5EF4-FFF2-40B4-BE49-F238E27FC236}">
                  <a16:creationId xmlns:a16="http://schemas.microsoft.com/office/drawing/2014/main" id="{00000000-0008-0000-0A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34</xdr:row>
          <xdr:rowOff>28575</xdr:rowOff>
        </xdr:from>
        <xdr:to>
          <xdr:col>4</xdr:col>
          <xdr:colOff>923925</xdr:colOff>
          <xdr:row>34</xdr:row>
          <xdr:rowOff>209550</xdr:rowOff>
        </xdr:to>
        <xdr:sp macro="" textlink="">
          <xdr:nvSpPr>
            <xdr:cNvPr id="16505" name="Option Button 121" hidden="1">
              <a:extLst>
                <a:ext uri="{63B3BB69-23CF-44E3-9099-C40C66FF867C}">
                  <a14:compatExt spid="_x0000_s16505"/>
                </a:ext>
                <a:ext uri="{FF2B5EF4-FFF2-40B4-BE49-F238E27FC236}">
                  <a16:creationId xmlns:a16="http://schemas.microsoft.com/office/drawing/2014/main" id="{00000000-0008-0000-0A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35</xdr:row>
          <xdr:rowOff>0</xdr:rowOff>
        </xdr:from>
        <xdr:to>
          <xdr:col>5</xdr:col>
          <xdr:colOff>0</xdr:colOff>
          <xdr:row>36</xdr:row>
          <xdr:rowOff>0</xdr:rowOff>
        </xdr:to>
        <xdr:sp macro="" textlink="">
          <xdr:nvSpPr>
            <xdr:cNvPr id="16506" name="Group Box 122" hidden="1">
              <a:extLst>
                <a:ext uri="{63B3BB69-23CF-44E3-9099-C40C66FF867C}">
                  <a14:compatExt spid="_x0000_s16506"/>
                </a:ext>
                <a:ext uri="{FF2B5EF4-FFF2-40B4-BE49-F238E27FC236}">
                  <a16:creationId xmlns:a16="http://schemas.microsoft.com/office/drawing/2014/main" id="{00000000-0008-0000-0A00-00007A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35</xdr:row>
          <xdr:rowOff>19050</xdr:rowOff>
        </xdr:from>
        <xdr:to>
          <xdr:col>3</xdr:col>
          <xdr:colOff>942975</xdr:colOff>
          <xdr:row>35</xdr:row>
          <xdr:rowOff>200025</xdr:rowOff>
        </xdr:to>
        <xdr:sp macro="" textlink="">
          <xdr:nvSpPr>
            <xdr:cNvPr id="16507" name="Option Button 123" hidden="1">
              <a:extLst>
                <a:ext uri="{63B3BB69-23CF-44E3-9099-C40C66FF867C}">
                  <a14:compatExt spid="_x0000_s16507"/>
                </a:ext>
                <a:ext uri="{FF2B5EF4-FFF2-40B4-BE49-F238E27FC236}">
                  <a16:creationId xmlns:a16="http://schemas.microsoft.com/office/drawing/2014/main" id="{00000000-0008-0000-0A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35</xdr:row>
          <xdr:rowOff>19050</xdr:rowOff>
        </xdr:from>
        <xdr:to>
          <xdr:col>4</xdr:col>
          <xdr:colOff>914400</xdr:colOff>
          <xdr:row>35</xdr:row>
          <xdr:rowOff>200025</xdr:rowOff>
        </xdr:to>
        <xdr:sp macro="" textlink="">
          <xdr:nvSpPr>
            <xdr:cNvPr id="16508" name="Option Button 124" hidden="1">
              <a:extLst>
                <a:ext uri="{63B3BB69-23CF-44E3-9099-C40C66FF867C}">
                  <a14:compatExt spid="_x0000_s16508"/>
                </a:ext>
                <a:ext uri="{FF2B5EF4-FFF2-40B4-BE49-F238E27FC236}">
                  <a16:creationId xmlns:a16="http://schemas.microsoft.com/office/drawing/2014/main" id="{00000000-0008-0000-0A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36</xdr:row>
          <xdr:rowOff>9525</xdr:rowOff>
        </xdr:from>
        <xdr:to>
          <xdr:col>5</xdr:col>
          <xdr:colOff>0</xdr:colOff>
          <xdr:row>37</xdr:row>
          <xdr:rowOff>0</xdr:rowOff>
        </xdr:to>
        <xdr:sp macro="" textlink="">
          <xdr:nvSpPr>
            <xdr:cNvPr id="16509" name="Group Box 125" hidden="1">
              <a:extLst>
                <a:ext uri="{63B3BB69-23CF-44E3-9099-C40C66FF867C}">
                  <a14:compatExt spid="_x0000_s16509"/>
                </a:ext>
                <a:ext uri="{FF2B5EF4-FFF2-40B4-BE49-F238E27FC236}">
                  <a16:creationId xmlns:a16="http://schemas.microsoft.com/office/drawing/2014/main" id="{00000000-0008-0000-0A00-00007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36</xdr:row>
          <xdr:rowOff>38100</xdr:rowOff>
        </xdr:from>
        <xdr:to>
          <xdr:col>3</xdr:col>
          <xdr:colOff>952500</xdr:colOff>
          <xdr:row>36</xdr:row>
          <xdr:rowOff>219075</xdr:rowOff>
        </xdr:to>
        <xdr:sp macro="" textlink="">
          <xdr:nvSpPr>
            <xdr:cNvPr id="16510" name="Option Button 126" hidden="1">
              <a:extLst>
                <a:ext uri="{63B3BB69-23CF-44E3-9099-C40C66FF867C}">
                  <a14:compatExt spid="_x0000_s16510"/>
                </a:ext>
                <a:ext uri="{FF2B5EF4-FFF2-40B4-BE49-F238E27FC236}">
                  <a16:creationId xmlns:a16="http://schemas.microsoft.com/office/drawing/2014/main" id="{00000000-0008-0000-0A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36</xdr:row>
          <xdr:rowOff>47625</xdr:rowOff>
        </xdr:from>
        <xdr:to>
          <xdr:col>4</xdr:col>
          <xdr:colOff>923925</xdr:colOff>
          <xdr:row>36</xdr:row>
          <xdr:rowOff>219075</xdr:rowOff>
        </xdr:to>
        <xdr:sp macro="" textlink="">
          <xdr:nvSpPr>
            <xdr:cNvPr id="16511" name="Option Button 127" hidden="1">
              <a:extLst>
                <a:ext uri="{63B3BB69-23CF-44E3-9099-C40C66FF867C}">
                  <a14:compatExt spid="_x0000_s16511"/>
                </a:ext>
                <a:ext uri="{FF2B5EF4-FFF2-40B4-BE49-F238E27FC236}">
                  <a16:creationId xmlns:a16="http://schemas.microsoft.com/office/drawing/2014/main" id="{00000000-0008-0000-0A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39</xdr:row>
          <xdr:rowOff>57150</xdr:rowOff>
        </xdr:from>
        <xdr:to>
          <xdr:col>5</xdr:col>
          <xdr:colOff>0</xdr:colOff>
          <xdr:row>41</xdr:row>
          <xdr:rowOff>0</xdr:rowOff>
        </xdr:to>
        <xdr:sp macro="" textlink="">
          <xdr:nvSpPr>
            <xdr:cNvPr id="16512" name="Group Box 128" hidden="1">
              <a:extLst>
                <a:ext uri="{63B3BB69-23CF-44E3-9099-C40C66FF867C}">
                  <a14:compatExt spid="_x0000_s16512"/>
                </a:ext>
                <a:ext uri="{FF2B5EF4-FFF2-40B4-BE49-F238E27FC236}">
                  <a16:creationId xmlns:a16="http://schemas.microsoft.com/office/drawing/2014/main" id="{00000000-0008-0000-0A00-00008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40</xdr:row>
          <xdr:rowOff>38100</xdr:rowOff>
        </xdr:from>
        <xdr:to>
          <xdr:col>3</xdr:col>
          <xdr:colOff>923925</xdr:colOff>
          <xdr:row>40</xdr:row>
          <xdr:rowOff>200025</xdr:rowOff>
        </xdr:to>
        <xdr:sp macro="" textlink="">
          <xdr:nvSpPr>
            <xdr:cNvPr id="16513" name="Option Button 129" hidden="1">
              <a:extLst>
                <a:ext uri="{63B3BB69-23CF-44E3-9099-C40C66FF867C}">
                  <a14:compatExt spid="_x0000_s16513"/>
                </a:ext>
                <a:ext uri="{FF2B5EF4-FFF2-40B4-BE49-F238E27FC236}">
                  <a16:creationId xmlns:a16="http://schemas.microsoft.com/office/drawing/2014/main" id="{00000000-0008-0000-0A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40</xdr:row>
          <xdr:rowOff>38100</xdr:rowOff>
        </xdr:from>
        <xdr:to>
          <xdr:col>4</xdr:col>
          <xdr:colOff>914400</xdr:colOff>
          <xdr:row>40</xdr:row>
          <xdr:rowOff>209550</xdr:rowOff>
        </xdr:to>
        <xdr:sp macro="" textlink="">
          <xdr:nvSpPr>
            <xdr:cNvPr id="16514" name="Option Button 130" hidden="1">
              <a:extLst>
                <a:ext uri="{63B3BB69-23CF-44E3-9099-C40C66FF867C}">
                  <a14:compatExt spid="_x0000_s16514"/>
                </a:ext>
                <a:ext uri="{FF2B5EF4-FFF2-40B4-BE49-F238E27FC236}">
                  <a16:creationId xmlns:a16="http://schemas.microsoft.com/office/drawing/2014/main" id="{00000000-0008-0000-0A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42</xdr:row>
          <xdr:rowOff>9525</xdr:rowOff>
        </xdr:from>
        <xdr:to>
          <xdr:col>5</xdr:col>
          <xdr:colOff>0</xdr:colOff>
          <xdr:row>43</xdr:row>
          <xdr:rowOff>9525</xdr:rowOff>
        </xdr:to>
        <xdr:sp macro="" textlink="">
          <xdr:nvSpPr>
            <xdr:cNvPr id="16515" name="Group Box 131" hidden="1">
              <a:extLst>
                <a:ext uri="{63B3BB69-23CF-44E3-9099-C40C66FF867C}">
                  <a14:compatExt spid="_x0000_s16515"/>
                </a:ext>
                <a:ext uri="{FF2B5EF4-FFF2-40B4-BE49-F238E27FC236}">
                  <a16:creationId xmlns:a16="http://schemas.microsoft.com/office/drawing/2014/main" id="{00000000-0008-0000-0A00-00008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42</xdr:row>
          <xdr:rowOff>38100</xdr:rowOff>
        </xdr:from>
        <xdr:to>
          <xdr:col>3</xdr:col>
          <xdr:colOff>933450</xdr:colOff>
          <xdr:row>42</xdr:row>
          <xdr:rowOff>200025</xdr:rowOff>
        </xdr:to>
        <xdr:sp macro="" textlink="">
          <xdr:nvSpPr>
            <xdr:cNvPr id="16516" name="Option Button 132" hidden="1">
              <a:extLst>
                <a:ext uri="{63B3BB69-23CF-44E3-9099-C40C66FF867C}">
                  <a14:compatExt spid="_x0000_s16516"/>
                </a:ext>
                <a:ext uri="{FF2B5EF4-FFF2-40B4-BE49-F238E27FC236}">
                  <a16:creationId xmlns:a16="http://schemas.microsoft.com/office/drawing/2014/main" id="{00000000-0008-0000-0A00-00008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42</xdr:row>
          <xdr:rowOff>28575</xdr:rowOff>
        </xdr:from>
        <xdr:to>
          <xdr:col>4</xdr:col>
          <xdr:colOff>914400</xdr:colOff>
          <xdr:row>42</xdr:row>
          <xdr:rowOff>219075</xdr:rowOff>
        </xdr:to>
        <xdr:sp macro="" textlink="">
          <xdr:nvSpPr>
            <xdr:cNvPr id="16517" name="Option Button 133" hidden="1">
              <a:extLst>
                <a:ext uri="{63B3BB69-23CF-44E3-9099-C40C66FF867C}">
                  <a14:compatExt spid="_x0000_s16517"/>
                </a:ext>
                <a:ext uri="{FF2B5EF4-FFF2-40B4-BE49-F238E27FC236}">
                  <a16:creationId xmlns:a16="http://schemas.microsoft.com/office/drawing/2014/main" id="{00000000-0008-0000-0A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43</xdr:row>
          <xdr:rowOff>57150</xdr:rowOff>
        </xdr:from>
        <xdr:to>
          <xdr:col>5</xdr:col>
          <xdr:colOff>0</xdr:colOff>
          <xdr:row>44</xdr:row>
          <xdr:rowOff>371475</xdr:rowOff>
        </xdr:to>
        <xdr:sp macro="" textlink="">
          <xdr:nvSpPr>
            <xdr:cNvPr id="16518" name="Group Box 134" hidden="1">
              <a:extLst>
                <a:ext uri="{63B3BB69-23CF-44E3-9099-C40C66FF867C}">
                  <a14:compatExt spid="_x0000_s16518"/>
                </a:ext>
                <a:ext uri="{FF2B5EF4-FFF2-40B4-BE49-F238E27FC236}">
                  <a16:creationId xmlns:a16="http://schemas.microsoft.com/office/drawing/2014/main" id="{00000000-0008-0000-0A00-00008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44</xdr:row>
          <xdr:rowOff>104775</xdr:rowOff>
        </xdr:from>
        <xdr:to>
          <xdr:col>3</xdr:col>
          <xdr:colOff>933450</xdr:colOff>
          <xdr:row>44</xdr:row>
          <xdr:rowOff>266700</xdr:rowOff>
        </xdr:to>
        <xdr:sp macro="" textlink="">
          <xdr:nvSpPr>
            <xdr:cNvPr id="16519" name="Option Button 135" hidden="1">
              <a:extLst>
                <a:ext uri="{63B3BB69-23CF-44E3-9099-C40C66FF867C}">
                  <a14:compatExt spid="_x0000_s16519"/>
                </a:ext>
                <a:ext uri="{FF2B5EF4-FFF2-40B4-BE49-F238E27FC236}">
                  <a16:creationId xmlns:a16="http://schemas.microsoft.com/office/drawing/2014/main" id="{00000000-0008-0000-0A00-00008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44</xdr:row>
          <xdr:rowOff>85725</xdr:rowOff>
        </xdr:from>
        <xdr:to>
          <xdr:col>4</xdr:col>
          <xdr:colOff>895350</xdr:colOff>
          <xdr:row>44</xdr:row>
          <xdr:rowOff>276225</xdr:rowOff>
        </xdr:to>
        <xdr:sp macro="" textlink="">
          <xdr:nvSpPr>
            <xdr:cNvPr id="16520" name="Option Button 136" hidden="1">
              <a:extLst>
                <a:ext uri="{63B3BB69-23CF-44E3-9099-C40C66FF867C}">
                  <a14:compatExt spid="_x0000_s16520"/>
                </a:ext>
                <a:ext uri="{FF2B5EF4-FFF2-40B4-BE49-F238E27FC236}">
                  <a16:creationId xmlns:a16="http://schemas.microsoft.com/office/drawing/2014/main" id="{00000000-0008-0000-0A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57</xdr:row>
          <xdr:rowOff>9525</xdr:rowOff>
        </xdr:from>
        <xdr:to>
          <xdr:col>5</xdr:col>
          <xdr:colOff>0</xdr:colOff>
          <xdr:row>58</xdr:row>
          <xdr:rowOff>0</xdr:rowOff>
        </xdr:to>
        <xdr:sp macro="" textlink="">
          <xdr:nvSpPr>
            <xdr:cNvPr id="16521" name="Group Box 137" hidden="1">
              <a:extLst>
                <a:ext uri="{63B3BB69-23CF-44E3-9099-C40C66FF867C}">
                  <a14:compatExt spid="_x0000_s16521"/>
                </a:ext>
                <a:ext uri="{FF2B5EF4-FFF2-40B4-BE49-F238E27FC236}">
                  <a16:creationId xmlns:a16="http://schemas.microsoft.com/office/drawing/2014/main" id="{00000000-0008-0000-0A00-00008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57</xdr:row>
          <xdr:rowOff>38100</xdr:rowOff>
        </xdr:from>
        <xdr:to>
          <xdr:col>3</xdr:col>
          <xdr:colOff>962025</xdr:colOff>
          <xdr:row>57</xdr:row>
          <xdr:rowOff>228600</xdr:rowOff>
        </xdr:to>
        <xdr:sp macro="" textlink="">
          <xdr:nvSpPr>
            <xdr:cNvPr id="16522" name="Option Button 138" hidden="1">
              <a:extLst>
                <a:ext uri="{63B3BB69-23CF-44E3-9099-C40C66FF867C}">
                  <a14:compatExt spid="_x0000_s16522"/>
                </a:ext>
                <a:ext uri="{FF2B5EF4-FFF2-40B4-BE49-F238E27FC236}">
                  <a16:creationId xmlns:a16="http://schemas.microsoft.com/office/drawing/2014/main" id="{00000000-0008-0000-0A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57</xdr:row>
          <xdr:rowOff>28575</xdr:rowOff>
        </xdr:from>
        <xdr:to>
          <xdr:col>4</xdr:col>
          <xdr:colOff>923925</xdr:colOff>
          <xdr:row>57</xdr:row>
          <xdr:rowOff>209550</xdr:rowOff>
        </xdr:to>
        <xdr:sp macro="" textlink="">
          <xdr:nvSpPr>
            <xdr:cNvPr id="16523" name="Option Button 139" hidden="1">
              <a:extLst>
                <a:ext uri="{63B3BB69-23CF-44E3-9099-C40C66FF867C}">
                  <a14:compatExt spid="_x0000_s16523"/>
                </a:ext>
                <a:ext uri="{FF2B5EF4-FFF2-40B4-BE49-F238E27FC236}">
                  <a16:creationId xmlns:a16="http://schemas.microsoft.com/office/drawing/2014/main" id="{00000000-0008-0000-0A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1762125</xdr:colOff>
          <xdr:row>60</xdr:row>
          <xdr:rowOff>9525</xdr:rowOff>
        </xdr:from>
        <xdr:to>
          <xdr:col>5</xdr:col>
          <xdr:colOff>9525</xdr:colOff>
          <xdr:row>61</xdr:row>
          <xdr:rowOff>0</xdr:rowOff>
        </xdr:to>
        <xdr:sp macro="" textlink="">
          <xdr:nvSpPr>
            <xdr:cNvPr id="16524" name="Group Box 140" hidden="1">
              <a:extLst>
                <a:ext uri="{63B3BB69-23CF-44E3-9099-C40C66FF867C}">
                  <a14:compatExt spid="_x0000_s16524"/>
                </a:ext>
                <a:ext uri="{FF2B5EF4-FFF2-40B4-BE49-F238E27FC236}">
                  <a16:creationId xmlns:a16="http://schemas.microsoft.com/office/drawing/2014/main" id="{00000000-0008-0000-0A00-00008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60</xdr:row>
          <xdr:rowOff>38100</xdr:rowOff>
        </xdr:from>
        <xdr:to>
          <xdr:col>3</xdr:col>
          <xdr:colOff>971550</xdr:colOff>
          <xdr:row>60</xdr:row>
          <xdr:rowOff>228600</xdr:rowOff>
        </xdr:to>
        <xdr:sp macro="" textlink="">
          <xdr:nvSpPr>
            <xdr:cNvPr id="16525" name="Option Button 141" hidden="1">
              <a:extLst>
                <a:ext uri="{63B3BB69-23CF-44E3-9099-C40C66FF867C}">
                  <a14:compatExt spid="_x0000_s16525"/>
                </a:ext>
                <a:ext uri="{FF2B5EF4-FFF2-40B4-BE49-F238E27FC236}">
                  <a16:creationId xmlns:a16="http://schemas.microsoft.com/office/drawing/2014/main" id="{00000000-0008-0000-0A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60</xdr:row>
          <xdr:rowOff>28575</xdr:rowOff>
        </xdr:from>
        <xdr:to>
          <xdr:col>4</xdr:col>
          <xdr:colOff>933450</xdr:colOff>
          <xdr:row>60</xdr:row>
          <xdr:rowOff>209550</xdr:rowOff>
        </xdr:to>
        <xdr:sp macro="" textlink="">
          <xdr:nvSpPr>
            <xdr:cNvPr id="16526" name="Option Button 142" hidden="1">
              <a:extLst>
                <a:ext uri="{63B3BB69-23CF-44E3-9099-C40C66FF867C}">
                  <a14:compatExt spid="_x0000_s16526"/>
                </a:ext>
                <a:ext uri="{FF2B5EF4-FFF2-40B4-BE49-F238E27FC236}">
                  <a16:creationId xmlns:a16="http://schemas.microsoft.com/office/drawing/2014/main" id="{00000000-0008-0000-0A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9525</xdr:rowOff>
        </xdr:from>
        <xdr:to>
          <xdr:col>5</xdr:col>
          <xdr:colOff>9525</xdr:colOff>
          <xdr:row>62</xdr:row>
          <xdr:rowOff>0</xdr:rowOff>
        </xdr:to>
        <xdr:sp macro="" textlink="">
          <xdr:nvSpPr>
            <xdr:cNvPr id="16527" name="Group Box 143" hidden="1">
              <a:extLst>
                <a:ext uri="{63B3BB69-23CF-44E3-9099-C40C66FF867C}">
                  <a14:compatExt spid="_x0000_s16527"/>
                </a:ext>
                <a:ext uri="{FF2B5EF4-FFF2-40B4-BE49-F238E27FC236}">
                  <a16:creationId xmlns:a16="http://schemas.microsoft.com/office/drawing/2014/main" id="{00000000-0008-0000-0A00-00008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61</xdr:row>
          <xdr:rowOff>38100</xdr:rowOff>
        </xdr:from>
        <xdr:to>
          <xdr:col>3</xdr:col>
          <xdr:colOff>971550</xdr:colOff>
          <xdr:row>61</xdr:row>
          <xdr:rowOff>228600</xdr:rowOff>
        </xdr:to>
        <xdr:sp macro="" textlink="">
          <xdr:nvSpPr>
            <xdr:cNvPr id="16528" name="Option Button 144" hidden="1">
              <a:extLst>
                <a:ext uri="{63B3BB69-23CF-44E3-9099-C40C66FF867C}">
                  <a14:compatExt spid="_x0000_s16528"/>
                </a:ext>
                <a:ext uri="{FF2B5EF4-FFF2-40B4-BE49-F238E27FC236}">
                  <a16:creationId xmlns:a16="http://schemas.microsoft.com/office/drawing/2014/main" id="{00000000-0008-0000-0A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61</xdr:row>
          <xdr:rowOff>28575</xdr:rowOff>
        </xdr:from>
        <xdr:to>
          <xdr:col>4</xdr:col>
          <xdr:colOff>933450</xdr:colOff>
          <xdr:row>61</xdr:row>
          <xdr:rowOff>209550</xdr:rowOff>
        </xdr:to>
        <xdr:sp macro="" textlink="">
          <xdr:nvSpPr>
            <xdr:cNvPr id="16529" name="Option Button 145" hidden="1">
              <a:extLst>
                <a:ext uri="{63B3BB69-23CF-44E3-9099-C40C66FF867C}">
                  <a14:compatExt spid="_x0000_s16529"/>
                </a:ext>
                <a:ext uri="{FF2B5EF4-FFF2-40B4-BE49-F238E27FC236}">
                  <a16:creationId xmlns:a16="http://schemas.microsoft.com/office/drawing/2014/main" id="{00000000-0008-0000-0A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62</xdr:row>
          <xdr:rowOff>9525</xdr:rowOff>
        </xdr:from>
        <xdr:to>
          <xdr:col>5</xdr:col>
          <xdr:colOff>9525</xdr:colOff>
          <xdr:row>63</xdr:row>
          <xdr:rowOff>0</xdr:rowOff>
        </xdr:to>
        <xdr:sp macro="" textlink="">
          <xdr:nvSpPr>
            <xdr:cNvPr id="16530" name="Group Box 146" hidden="1">
              <a:extLst>
                <a:ext uri="{63B3BB69-23CF-44E3-9099-C40C66FF867C}">
                  <a14:compatExt spid="_x0000_s16530"/>
                </a:ext>
                <a:ext uri="{FF2B5EF4-FFF2-40B4-BE49-F238E27FC236}">
                  <a16:creationId xmlns:a16="http://schemas.microsoft.com/office/drawing/2014/main" id="{00000000-0008-0000-0A00-00009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62</xdr:row>
          <xdr:rowOff>38100</xdr:rowOff>
        </xdr:from>
        <xdr:to>
          <xdr:col>4</xdr:col>
          <xdr:colOff>0</xdr:colOff>
          <xdr:row>62</xdr:row>
          <xdr:rowOff>228600</xdr:rowOff>
        </xdr:to>
        <xdr:sp macro="" textlink="">
          <xdr:nvSpPr>
            <xdr:cNvPr id="16531" name="Option Button 147" hidden="1">
              <a:extLst>
                <a:ext uri="{63B3BB69-23CF-44E3-9099-C40C66FF867C}">
                  <a14:compatExt spid="_x0000_s16531"/>
                </a:ext>
                <a:ext uri="{FF2B5EF4-FFF2-40B4-BE49-F238E27FC236}">
                  <a16:creationId xmlns:a16="http://schemas.microsoft.com/office/drawing/2014/main" id="{00000000-0008-0000-0A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733425</xdr:colOff>
          <xdr:row>62</xdr:row>
          <xdr:rowOff>28575</xdr:rowOff>
        </xdr:from>
        <xdr:to>
          <xdr:col>4</xdr:col>
          <xdr:colOff>942975</xdr:colOff>
          <xdr:row>62</xdr:row>
          <xdr:rowOff>209550</xdr:rowOff>
        </xdr:to>
        <xdr:sp macro="" textlink="">
          <xdr:nvSpPr>
            <xdr:cNvPr id="16532" name="Option Button 148" hidden="1">
              <a:extLst>
                <a:ext uri="{63B3BB69-23CF-44E3-9099-C40C66FF867C}">
                  <a14:compatExt spid="_x0000_s16532"/>
                </a:ext>
                <a:ext uri="{FF2B5EF4-FFF2-40B4-BE49-F238E27FC236}">
                  <a16:creationId xmlns:a16="http://schemas.microsoft.com/office/drawing/2014/main" id="{00000000-0008-0000-0A00-00009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9525</xdr:rowOff>
        </xdr:from>
        <xdr:to>
          <xdr:col>5</xdr:col>
          <xdr:colOff>9525</xdr:colOff>
          <xdr:row>64</xdr:row>
          <xdr:rowOff>0</xdr:rowOff>
        </xdr:to>
        <xdr:sp macro="" textlink="">
          <xdr:nvSpPr>
            <xdr:cNvPr id="16533" name="Group Box 149" hidden="1">
              <a:extLst>
                <a:ext uri="{63B3BB69-23CF-44E3-9099-C40C66FF867C}">
                  <a14:compatExt spid="_x0000_s16533"/>
                </a:ext>
                <a:ext uri="{FF2B5EF4-FFF2-40B4-BE49-F238E27FC236}">
                  <a16:creationId xmlns:a16="http://schemas.microsoft.com/office/drawing/2014/main" id="{00000000-0008-0000-0A00-00009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63</xdr:row>
          <xdr:rowOff>38100</xdr:rowOff>
        </xdr:from>
        <xdr:to>
          <xdr:col>3</xdr:col>
          <xdr:colOff>971550</xdr:colOff>
          <xdr:row>63</xdr:row>
          <xdr:rowOff>228600</xdr:rowOff>
        </xdr:to>
        <xdr:sp macro="" textlink="">
          <xdr:nvSpPr>
            <xdr:cNvPr id="16534" name="Option Button 150" hidden="1">
              <a:extLst>
                <a:ext uri="{63B3BB69-23CF-44E3-9099-C40C66FF867C}">
                  <a14:compatExt spid="_x0000_s16534"/>
                </a:ext>
                <a:ext uri="{FF2B5EF4-FFF2-40B4-BE49-F238E27FC236}">
                  <a16:creationId xmlns:a16="http://schemas.microsoft.com/office/drawing/2014/main" id="{00000000-0008-0000-0A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63</xdr:row>
          <xdr:rowOff>28575</xdr:rowOff>
        </xdr:from>
        <xdr:to>
          <xdr:col>4</xdr:col>
          <xdr:colOff>933450</xdr:colOff>
          <xdr:row>63</xdr:row>
          <xdr:rowOff>209550</xdr:rowOff>
        </xdr:to>
        <xdr:sp macro="" textlink="">
          <xdr:nvSpPr>
            <xdr:cNvPr id="16535" name="Option Button 151" hidden="1">
              <a:extLst>
                <a:ext uri="{63B3BB69-23CF-44E3-9099-C40C66FF867C}">
                  <a14:compatExt spid="_x0000_s16535"/>
                </a:ext>
                <a:ext uri="{FF2B5EF4-FFF2-40B4-BE49-F238E27FC236}">
                  <a16:creationId xmlns:a16="http://schemas.microsoft.com/office/drawing/2014/main" id="{00000000-0008-0000-0A00-00009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9525</xdr:rowOff>
        </xdr:from>
        <xdr:to>
          <xdr:col>5</xdr:col>
          <xdr:colOff>9525</xdr:colOff>
          <xdr:row>65</xdr:row>
          <xdr:rowOff>0</xdr:rowOff>
        </xdr:to>
        <xdr:sp macro="" textlink="">
          <xdr:nvSpPr>
            <xdr:cNvPr id="16536" name="Group Box 152" hidden="1">
              <a:extLst>
                <a:ext uri="{63B3BB69-23CF-44E3-9099-C40C66FF867C}">
                  <a14:compatExt spid="_x0000_s16536"/>
                </a:ext>
                <a:ext uri="{FF2B5EF4-FFF2-40B4-BE49-F238E27FC236}">
                  <a16:creationId xmlns:a16="http://schemas.microsoft.com/office/drawing/2014/main" id="{00000000-0008-0000-0A00-000098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64</xdr:row>
          <xdr:rowOff>38100</xdr:rowOff>
        </xdr:from>
        <xdr:to>
          <xdr:col>3</xdr:col>
          <xdr:colOff>971550</xdr:colOff>
          <xdr:row>64</xdr:row>
          <xdr:rowOff>228600</xdr:rowOff>
        </xdr:to>
        <xdr:sp macro="" textlink="">
          <xdr:nvSpPr>
            <xdr:cNvPr id="16537" name="Option Button 153" hidden="1">
              <a:extLst>
                <a:ext uri="{63B3BB69-23CF-44E3-9099-C40C66FF867C}">
                  <a14:compatExt spid="_x0000_s16537"/>
                </a:ext>
                <a:ext uri="{FF2B5EF4-FFF2-40B4-BE49-F238E27FC236}">
                  <a16:creationId xmlns:a16="http://schemas.microsoft.com/office/drawing/2014/main" id="{00000000-0008-0000-0A00-00009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64</xdr:row>
          <xdr:rowOff>28575</xdr:rowOff>
        </xdr:from>
        <xdr:to>
          <xdr:col>4</xdr:col>
          <xdr:colOff>933450</xdr:colOff>
          <xdr:row>64</xdr:row>
          <xdr:rowOff>209550</xdr:rowOff>
        </xdr:to>
        <xdr:sp macro="" textlink="">
          <xdr:nvSpPr>
            <xdr:cNvPr id="16538" name="Option Button 154" hidden="1">
              <a:extLst>
                <a:ext uri="{63B3BB69-23CF-44E3-9099-C40C66FF867C}">
                  <a14:compatExt spid="_x0000_s16538"/>
                </a:ext>
                <a:ext uri="{FF2B5EF4-FFF2-40B4-BE49-F238E27FC236}">
                  <a16:creationId xmlns:a16="http://schemas.microsoft.com/office/drawing/2014/main" id="{00000000-0008-0000-0A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67</xdr:row>
          <xdr:rowOff>9525</xdr:rowOff>
        </xdr:from>
        <xdr:to>
          <xdr:col>5</xdr:col>
          <xdr:colOff>0</xdr:colOff>
          <xdr:row>68</xdr:row>
          <xdr:rowOff>0</xdr:rowOff>
        </xdr:to>
        <xdr:sp macro="" textlink="">
          <xdr:nvSpPr>
            <xdr:cNvPr id="16539" name="Group Box 155" hidden="1">
              <a:extLst>
                <a:ext uri="{63B3BB69-23CF-44E3-9099-C40C66FF867C}">
                  <a14:compatExt spid="_x0000_s16539"/>
                </a:ext>
                <a:ext uri="{FF2B5EF4-FFF2-40B4-BE49-F238E27FC236}">
                  <a16:creationId xmlns:a16="http://schemas.microsoft.com/office/drawing/2014/main" id="{00000000-0008-0000-0A00-00009B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67</xdr:row>
          <xdr:rowOff>38100</xdr:rowOff>
        </xdr:from>
        <xdr:to>
          <xdr:col>3</xdr:col>
          <xdr:colOff>962025</xdr:colOff>
          <xdr:row>67</xdr:row>
          <xdr:rowOff>228600</xdr:rowOff>
        </xdr:to>
        <xdr:sp macro="" textlink="">
          <xdr:nvSpPr>
            <xdr:cNvPr id="16540" name="Option Button 156" hidden="1">
              <a:extLst>
                <a:ext uri="{63B3BB69-23CF-44E3-9099-C40C66FF867C}">
                  <a14:compatExt spid="_x0000_s16540"/>
                </a:ext>
                <a:ext uri="{FF2B5EF4-FFF2-40B4-BE49-F238E27FC236}">
                  <a16:creationId xmlns:a16="http://schemas.microsoft.com/office/drawing/2014/main" id="{00000000-0008-0000-0A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67</xdr:row>
          <xdr:rowOff>28575</xdr:rowOff>
        </xdr:from>
        <xdr:to>
          <xdr:col>4</xdr:col>
          <xdr:colOff>923925</xdr:colOff>
          <xdr:row>67</xdr:row>
          <xdr:rowOff>209550</xdr:rowOff>
        </xdr:to>
        <xdr:sp macro="" textlink="">
          <xdr:nvSpPr>
            <xdr:cNvPr id="16541" name="Option Button 157" hidden="1">
              <a:extLst>
                <a:ext uri="{63B3BB69-23CF-44E3-9099-C40C66FF867C}">
                  <a14:compatExt spid="_x0000_s16541"/>
                </a:ext>
                <a:ext uri="{FF2B5EF4-FFF2-40B4-BE49-F238E27FC236}">
                  <a16:creationId xmlns:a16="http://schemas.microsoft.com/office/drawing/2014/main" id="{00000000-0008-0000-0A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68</xdr:row>
          <xdr:rowOff>9525</xdr:rowOff>
        </xdr:from>
        <xdr:to>
          <xdr:col>5</xdr:col>
          <xdr:colOff>0</xdr:colOff>
          <xdr:row>69</xdr:row>
          <xdr:rowOff>0</xdr:rowOff>
        </xdr:to>
        <xdr:sp macro="" textlink="">
          <xdr:nvSpPr>
            <xdr:cNvPr id="16542" name="Group Box 158" hidden="1">
              <a:extLst>
                <a:ext uri="{63B3BB69-23CF-44E3-9099-C40C66FF867C}">
                  <a14:compatExt spid="_x0000_s16542"/>
                </a:ext>
                <a:ext uri="{FF2B5EF4-FFF2-40B4-BE49-F238E27FC236}">
                  <a16:creationId xmlns:a16="http://schemas.microsoft.com/office/drawing/2014/main" id="{00000000-0008-0000-0A00-00009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68</xdr:row>
          <xdr:rowOff>38100</xdr:rowOff>
        </xdr:from>
        <xdr:to>
          <xdr:col>3</xdr:col>
          <xdr:colOff>962025</xdr:colOff>
          <xdr:row>68</xdr:row>
          <xdr:rowOff>228600</xdr:rowOff>
        </xdr:to>
        <xdr:sp macro="" textlink="">
          <xdr:nvSpPr>
            <xdr:cNvPr id="16543" name="Option Button 159" hidden="1">
              <a:extLst>
                <a:ext uri="{63B3BB69-23CF-44E3-9099-C40C66FF867C}">
                  <a14:compatExt spid="_x0000_s16543"/>
                </a:ext>
                <a:ext uri="{FF2B5EF4-FFF2-40B4-BE49-F238E27FC236}">
                  <a16:creationId xmlns:a16="http://schemas.microsoft.com/office/drawing/2014/main" id="{00000000-0008-0000-0A00-00009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68</xdr:row>
          <xdr:rowOff>28575</xdr:rowOff>
        </xdr:from>
        <xdr:to>
          <xdr:col>4</xdr:col>
          <xdr:colOff>923925</xdr:colOff>
          <xdr:row>68</xdr:row>
          <xdr:rowOff>209550</xdr:rowOff>
        </xdr:to>
        <xdr:sp macro="" textlink="">
          <xdr:nvSpPr>
            <xdr:cNvPr id="16544" name="Option Button 160" hidden="1">
              <a:extLst>
                <a:ext uri="{63B3BB69-23CF-44E3-9099-C40C66FF867C}">
                  <a14:compatExt spid="_x0000_s16544"/>
                </a:ext>
                <a:ext uri="{FF2B5EF4-FFF2-40B4-BE49-F238E27FC236}">
                  <a16:creationId xmlns:a16="http://schemas.microsoft.com/office/drawing/2014/main" id="{00000000-0008-0000-0A00-0000A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69</xdr:row>
          <xdr:rowOff>9525</xdr:rowOff>
        </xdr:from>
        <xdr:to>
          <xdr:col>5</xdr:col>
          <xdr:colOff>0</xdr:colOff>
          <xdr:row>70</xdr:row>
          <xdr:rowOff>0</xdr:rowOff>
        </xdr:to>
        <xdr:sp macro="" textlink="">
          <xdr:nvSpPr>
            <xdr:cNvPr id="16545" name="Group Box 161" hidden="1">
              <a:extLst>
                <a:ext uri="{63B3BB69-23CF-44E3-9099-C40C66FF867C}">
                  <a14:compatExt spid="_x0000_s16545"/>
                </a:ext>
                <a:ext uri="{FF2B5EF4-FFF2-40B4-BE49-F238E27FC236}">
                  <a16:creationId xmlns:a16="http://schemas.microsoft.com/office/drawing/2014/main" id="{00000000-0008-0000-0A00-0000A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69</xdr:row>
          <xdr:rowOff>38100</xdr:rowOff>
        </xdr:from>
        <xdr:to>
          <xdr:col>3</xdr:col>
          <xdr:colOff>962025</xdr:colOff>
          <xdr:row>69</xdr:row>
          <xdr:rowOff>228600</xdr:rowOff>
        </xdr:to>
        <xdr:sp macro="" textlink="">
          <xdr:nvSpPr>
            <xdr:cNvPr id="16546" name="Option Button 162" hidden="1">
              <a:extLst>
                <a:ext uri="{63B3BB69-23CF-44E3-9099-C40C66FF867C}">
                  <a14:compatExt spid="_x0000_s16546"/>
                </a:ext>
                <a:ext uri="{FF2B5EF4-FFF2-40B4-BE49-F238E27FC236}">
                  <a16:creationId xmlns:a16="http://schemas.microsoft.com/office/drawing/2014/main" id="{00000000-0008-0000-0A00-0000A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69</xdr:row>
          <xdr:rowOff>28575</xdr:rowOff>
        </xdr:from>
        <xdr:to>
          <xdr:col>4</xdr:col>
          <xdr:colOff>923925</xdr:colOff>
          <xdr:row>69</xdr:row>
          <xdr:rowOff>209550</xdr:rowOff>
        </xdr:to>
        <xdr:sp macro="" textlink="">
          <xdr:nvSpPr>
            <xdr:cNvPr id="16547" name="Option Button 163" hidden="1">
              <a:extLst>
                <a:ext uri="{63B3BB69-23CF-44E3-9099-C40C66FF867C}">
                  <a14:compatExt spid="_x0000_s16547"/>
                </a:ext>
                <a:ext uri="{FF2B5EF4-FFF2-40B4-BE49-F238E27FC236}">
                  <a16:creationId xmlns:a16="http://schemas.microsoft.com/office/drawing/2014/main" id="{00000000-0008-0000-0A00-0000A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70</xdr:row>
          <xdr:rowOff>9525</xdr:rowOff>
        </xdr:from>
        <xdr:to>
          <xdr:col>5</xdr:col>
          <xdr:colOff>0</xdr:colOff>
          <xdr:row>71</xdr:row>
          <xdr:rowOff>0</xdr:rowOff>
        </xdr:to>
        <xdr:sp macro="" textlink="">
          <xdr:nvSpPr>
            <xdr:cNvPr id="16548" name="Group Box 164" hidden="1">
              <a:extLst>
                <a:ext uri="{63B3BB69-23CF-44E3-9099-C40C66FF867C}">
                  <a14:compatExt spid="_x0000_s16548"/>
                </a:ext>
                <a:ext uri="{FF2B5EF4-FFF2-40B4-BE49-F238E27FC236}">
                  <a16:creationId xmlns:a16="http://schemas.microsoft.com/office/drawing/2014/main" id="{00000000-0008-0000-0A00-0000A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70</xdr:row>
          <xdr:rowOff>38100</xdr:rowOff>
        </xdr:from>
        <xdr:to>
          <xdr:col>3</xdr:col>
          <xdr:colOff>962025</xdr:colOff>
          <xdr:row>70</xdr:row>
          <xdr:rowOff>228600</xdr:rowOff>
        </xdr:to>
        <xdr:sp macro="" textlink="">
          <xdr:nvSpPr>
            <xdr:cNvPr id="16549" name="Option Button 165" hidden="1">
              <a:extLst>
                <a:ext uri="{63B3BB69-23CF-44E3-9099-C40C66FF867C}">
                  <a14:compatExt spid="_x0000_s16549"/>
                </a:ext>
                <a:ext uri="{FF2B5EF4-FFF2-40B4-BE49-F238E27FC236}">
                  <a16:creationId xmlns:a16="http://schemas.microsoft.com/office/drawing/2014/main" id="{00000000-0008-0000-0A00-0000A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70</xdr:row>
          <xdr:rowOff>28575</xdr:rowOff>
        </xdr:from>
        <xdr:to>
          <xdr:col>4</xdr:col>
          <xdr:colOff>923925</xdr:colOff>
          <xdr:row>70</xdr:row>
          <xdr:rowOff>209550</xdr:rowOff>
        </xdr:to>
        <xdr:sp macro="" textlink="">
          <xdr:nvSpPr>
            <xdr:cNvPr id="16550" name="Option Button 166" hidden="1">
              <a:extLst>
                <a:ext uri="{63B3BB69-23CF-44E3-9099-C40C66FF867C}">
                  <a14:compatExt spid="_x0000_s16550"/>
                </a:ext>
                <a:ext uri="{FF2B5EF4-FFF2-40B4-BE49-F238E27FC236}">
                  <a16:creationId xmlns:a16="http://schemas.microsoft.com/office/drawing/2014/main" id="{00000000-0008-0000-0A00-0000A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71</xdr:row>
          <xdr:rowOff>9525</xdr:rowOff>
        </xdr:from>
        <xdr:to>
          <xdr:col>5</xdr:col>
          <xdr:colOff>0</xdr:colOff>
          <xdr:row>72</xdr:row>
          <xdr:rowOff>0</xdr:rowOff>
        </xdr:to>
        <xdr:sp macro="" textlink="">
          <xdr:nvSpPr>
            <xdr:cNvPr id="16551" name="Group Box 167" hidden="1">
              <a:extLst>
                <a:ext uri="{63B3BB69-23CF-44E3-9099-C40C66FF867C}">
                  <a14:compatExt spid="_x0000_s16551"/>
                </a:ext>
                <a:ext uri="{FF2B5EF4-FFF2-40B4-BE49-F238E27FC236}">
                  <a16:creationId xmlns:a16="http://schemas.microsoft.com/office/drawing/2014/main" id="{00000000-0008-0000-0A00-0000A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71</xdr:row>
          <xdr:rowOff>38100</xdr:rowOff>
        </xdr:from>
        <xdr:to>
          <xdr:col>3</xdr:col>
          <xdr:colOff>962025</xdr:colOff>
          <xdr:row>71</xdr:row>
          <xdr:rowOff>228600</xdr:rowOff>
        </xdr:to>
        <xdr:sp macro="" textlink="">
          <xdr:nvSpPr>
            <xdr:cNvPr id="16552" name="Option Button 168" hidden="1">
              <a:extLst>
                <a:ext uri="{63B3BB69-23CF-44E3-9099-C40C66FF867C}">
                  <a14:compatExt spid="_x0000_s16552"/>
                </a:ext>
                <a:ext uri="{FF2B5EF4-FFF2-40B4-BE49-F238E27FC236}">
                  <a16:creationId xmlns:a16="http://schemas.microsoft.com/office/drawing/2014/main" id="{00000000-0008-0000-0A00-0000A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71</xdr:row>
          <xdr:rowOff>28575</xdr:rowOff>
        </xdr:from>
        <xdr:to>
          <xdr:col>4</xdr:col>
          <xdr:colOff>923925</xdr:colOff>
          <xdr:row>71</xdr:row>
          <xdr:rowOff>209550</xdr:rowOff>
        </xdr:to>
        <xdr:sp macro="" textlink="">
          <xdr:nvSpPr>
            <xdr:cNvPr id="16553" name="Option Button 169" hidden="1">
              <a:extLst>
                <a:ext uri="{63B3BB69-23CF-44E3-9099-C40C66FF867C}">
                  <a14:compatExt spid="_x0000_s16553"/>
                </a:ext>
                <a:ext uri="{FF2B5EF4-FFF2-40B4-BE49-F238E27FC236}">
                  <a16:creationId xmlns:a16="http://schemas.microsoft.com/office/drawing/2014/main" id="{00000000-0008-0000-0A00-0000A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74</xdr:row>
          <xdr:rowOff>9525</xdr:rowOff>
        </xdr:from>
        <xdr:to>
          <xdr:col>5</xdr:col>
          <xdr:colOff>0</xdr:colOff>
          <xdr:row>75</xdr:row>
          <xdr:rowOff>0</xdr:rowOff>
        </xdr:to>
        <xdr:sp macro="" textlink="">
          <xdr:nvSpPr>
            <xdr:cNvPr id="16554" name="Group Box 170" hidden="1">
              <a:extLst>
                <a:ext uri="{63B3BB69-23CF-44E3-9099-C40C66FF867C}">
                  <a14:compatExt spid="_x0000_s16554"/>
                </a:ext>
                <a:ext uri="{FF2B5EF4-FFF2-40B4-BE49-F238E27FC236}">
                  <a16:creationId xmlns:a16="http://schemas.microsoft.com/office/drawing/2014/main" id="{00000000-0008-0000-0A00-0000AA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74</xdr:row>
          <xdr:rowOff>38100</xdr:rowOff>
        </xdr:from>
        <xdr:to>
          <xdr:col>3</xdr:col>
          <xdr:colOff>962025</xdr:colOff>
          <xdr:row>74</xdr:row>
          <xdr:rowOff>228600</xdr:rowOff>
        </xdr:to>
        <xdr:sp macro="" textlink="">
          <xdr:nvSpPr>
            <xdr:cNvPr id="16555" name="Option Button 171" hidden="1">
              <a:extLst>
                <a:ext uri="{63B3BB69-23CF-44E3-9099-C40C66FF867C}">
                  <a14:compatExt spid="_x0000_s16555"/>
                </a:ext>
                <a:ext uri="{FF2B5EF4-FFF2-40B4-BE49-F238E27FC236}">
                  <a16:creationId xmlns:a16="http://schemas.microsoft.com/office/drawing/2014/main" id="{00000000-0008-0000-0A00-0000A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74</xdr:row>
          <xdr:rowOff>28575</xdr:rowOff>
        </xdr:from>
        <xdr:to>
          <xdr:col>4</xdr:col>
          <xdr:colOff>923925</xdr:colOff>
          <xdr:row>74</xdr:row>
          <xdr:rowOff>209550</xdr:rowOff>
        </xdr:to>
        <xdr:sp macro="" textlink="">
          <xdr:nvSpPr>
            <xdr:cNvPr id="16556" name="Option Button 172" hidden="1">
              <a:extLst>
                <a:ext uri="{63B3BB69-23CF-44E3-9099-C40C66FF867C}">
                  <a14:compatExt spid="_x0000_s16556"/>
                </a:ext>
                <a:ext uri="{FF2B5EF4-FFF2-40B4-BE49-F238E27FC236}">
                  <a16:creationId xmlns:a16="http://schemas.microsoft.com/office/drawing/2014/main" id="{00000000-0008-0000-0A00-0000A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75</xdr:row>
          <xdr:rowOff>9525</xdr:rowOff>
        </xdr:from>
        <xdr:to>
          <xdr:col>5</xdr:col>
          <xdr:colOff>0</xdr:colOff>
          <xdr:row>76</xdr:row>
          <xdr:rowOff>0</xdr:rowOff>
        </xdr:to>
        <xdr:sp macro="" textlink="">
          <xdr:nvSpPr>
            <xdr:cNvPr id="16557" name="Group Box 173" hidden="1">
              <a:extLst>
                <a:ext uri="{63B3BB69-23CF-44E3-9099-C40C66FF867C}">
                  <a14:compatExt spid="_x0000_s16557"/>
                </a:ext>
                <a:ext uri="{FF2B5EF4-FFF2-40B4-BE49-F238E27FC236}">
                  <a16:creationId xmlns:a16="http://schemas.microsoft.com/office/drawing/2014/main" id="{00000000-0008-0000-0A00-0000A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75</xdr:row>
          <xdr:rowOff>38100</xdr:rowOff>
        </xdr:from>
        <xdr:to>
          <xdr:col>3</xdr:col>
          <xdr:colOff>962025</xdr:colOff>
          <xdr:row>75</xdr:row>
          <xdr:rowOff>228600</xdr:rowOff>
        </xdr:to>
        <xdr:sp macro="" textlink="">
          <xdr:nvSpPr>
            <xdr:cNvPr id="16558" name="Option Button 174" hidden="1">
              <a:extLst>
                <a:ext uri="{63B3BB69-23CF-44E3-9099-C40C66FF867C}">
                  <a14:compatExt spid="_x0000_s16558"/>
                </a:ext>
                <a:ext uri="{FF2B5EF4-FFF2-40B4-BE49-F238E27FC236}">
                  <a16:creationId xmlns:a16="http://schemas.microsoft.com/office/drawing/2014/main" id="{00000000-0008-0000-0A00-0000A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75</xdr:row>
          <xdr:rowOff>28575</xdr:rowOff>
        </xdr:from>
        <xdr:to>
          <xdr:col>4</xdr:col>
          <xdr:colOff>923925</xdr:colOff>
          <xdr:row>75</xdr:row>
          <xdr:rowOff>209550</xdr:rowOff>
        </xdr:to>
        <xdr:sp macro="" textlink="">
          <xdr:nvSpPr>
            <xdr:cNvPr id="16559" name="Option Button 175" hidden="1">
              <a:extLst>
                <a:ext uri="{63B3BB69-23CF-44E3-9099-C40C66FF867C}">
                  <a14:compatExt spid="_x0000_s16559"/>
                </a:ext>
                <a:ext uri="{FF2B5EF4-FFF2-40B4-BE49-F238E27FC236}">
                  <a16:creationId xmlns:a16="http://schemas.microsoft.com/office/drawing/2014/main" id="{00000000-0008-0000-0A00-0000A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76</xdr:row>
          <xdr:rowOff>9525</xdr:rowOff>
        </xdr:from>
        <xdr:to>
          <xdr:col>5</xdr:col>
          <xdr:colOff>0</xdr:colOff>
          <xdr:row>77</xdr:row>
          <xdr:rowOff>0</xdr:rowOff>
        </xdr:to>
        <xdr:sp macro="" textlink="">
          <xdr:nvSpPr>
            <xdr:cNvPr id="16560" name="Group Box 176" hidden="1">
              <a:extLst>
                <a:ext uri="{63B3BB69-23CF-44E3-9099-C40C66FF867C}">
                  <a14:compatExt spid="_x0000_s16560"/>
                </a:ext>
                <a:ext uri="{FF2B5EF4-FFF2-40B4-BE49-F238E27FC236}">
                  <a16:creationId xmlns:a16="http://schemas.microsoft.com/office/drawing/2014/main" id="{00000000-0008-0000-0A00-0000B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76</xdr:row>
          <xdr:rowOff>38100</xdr:rowOff>
        </xdr:from>
        <xdr:to>
          <xdr:col>3</xdr:col>
          <xdr:colOff>962025</xdr:colOff>
          <xdr:row>76</xdr:row>
          <xdr:rowOff>228600</xdr:rowOff>
        </xdr:to>
        <xdr:sp macro="" textlink="">
          <xdr:nvSpPr>
            <xdr:cNvPr id="16561" name="Option Button 177" hidden="1">
              <a:extLst>
                <a:ext uri="{63B3BB69-23CF-44E3-9099-C40C66FF867C}">
                  <a14:compatExt spid="_x0000_s16561"/>
                </a:ext>
                <a:ext uri="{FF2B5EF4-FFF2-40B4-BE49-F238E27FC236}">
                  <a16:creationId xmlns:a16="http://schemas.microsoft.com/office/drawing/2014/main" id="{00000000-0008-0000-0A00-0000B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76</xdr:row>
          <xdr:rowOff>28575</xdr:rowOff>
        </xdr:from>
        <xdr:to>
          <xdr:col>4</xdr:col>
          <xdr:colOff>923925</xdr:colOff>
          <xdr:row>76</xdr:row>
          <xdr:rowOff>209550</xdr:rowOff>
        </xdr:to>
        <xdr:sp macro="" textlink="">
          <xdr:nvSpPr>
            <xdr:cNvPr id="16562" name="Option Button 178" hidden="1">
              <a:extLst>
                <a:ext uri="{63B3BB69-23CF-44E3-9099-C40C66FF867C}">
                  <a14:compatExt spid="_x0000_s16562"/>
                </a:ext>
                <a:ext uri="{FF2B5EF4-FFF2-40B4-BE49-F238E27FC236}">
                  <a16:creationId xmlns:a16="http://schemas.microsoft.com/office/drawing/2014/main" id="{00000000-0008-0000-0A00-0000B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77</xdr:row>
          <xdr:rowOff>9525</xdr:rowOff>
        </xdr:from>
        <xdr:to>
          <xdr:col>5</xdr:col>
          <xdr:colOff>0</xdr:colOff>
          <xdr:row>78</xdr:row>
          <xdr:rowOff>0</xdr:rowOff>
        </xdr:to>
        <xdr:sp macro="" textlink="">
          <xdr:nvSpPr>
            <xdr:cNvPr id="16563" name="Group Box 179" hidden="1">
              <a:extLst>
                <a:ext uri="{63B3BB69-23CF-44E3-9099-C40C66FF867C}">
                  <a14:compatExt spid="_x0000_s16563"/>
                </a:ext>
                <a:ext uri="{FF2B5EF4-FFF2-40B4-BE49-F238E27FC236}">
                  <a16:creationId xmlns:a16="http://schemas.microsoft.com/office/drawing/2014/main" id="{00000000-0008-0000-0A00-0000B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77</xdr:row>
          <xdr:rowOff>38100</xdr:rowOff>
        </xdr:from>
        <xdr:to>
          <xdr:col>3</xdr:col>
          <xdr:colOff>962025</xdr:colOff>
          <xdr:row>77</xdr:row>
          <xdr:rowOff>228600</xdr:rowOff>
        </xdr:to>
        <xdr:sp macro="" textlink="">
          <xdr:nvSpPr>
            <xdr:cNvPr id="16564" name="Option Button 180" hidden="1">
              <a:extLst>
                <a:ext uri="{63B3BB69-23CF-44E3-9099-C40C66FF867C}">
                  <a14:compatExt spid="_x0000_s16564"/>
                </a:ext>
                <a:ext uri="{FF2B5EF4-FFF2-40B4-BE49-F238E27FC236}">
                  <a16:creationId xmlns:a16="http://schemas.microsoft.com/office/drawing/2014/main" id="{00000000-0008-0000-0A00-0000B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77</xdr:row>
          <xdr:rowOff>28575</xdr:rowOff>
        </xdr:from>
        <xdr:to>
          <xdr:col>4</xdr:col>
          <xdr:colOff>923925</xdr:colOff>
          <xdr:row>77</xdr:row>
          <xdr:rowOff>209550</xdr:rowOff>
        </xdr:to>
        <xdr:sp macro="" textlink="">
          <xdr:nvSpPr>
            <xdr:cNvPr id="16565" name="Option Button 181" hidden="1">
              <a:extLst>
                <a:ext uri="{63B3BB69-23CF-44E3-9099-C40C66FF867C}">
                  <a14:compatExt spid="_x0000_s16565"/>
                </a:ext>
                <a:ext uri="{FF2B5EF4-FFF2-40B4-BE49-F238E27FC236}">
                  <a16:creationId xmlns:a16="http://schemas.microsoft.com/office/drawing/2014/main" id="{00000000-0008-0000-0A00-0000B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78</xdr:row>
          <xdr:rowOff>9525</xdr:rowOff>
        </xdr:from>
        <xdr:to>
          <xdr:col>5</xdr:col>
          <xdr:colOff>0</xdr:colOff>
          <xdr:row>79</xdr:row>
          <xdr:rowOff>0</xdr:rowOff>
        </xdr:to>
        <xdr:sp macro="" textlink="">
          <xdr:nvSpPr>
            <xdr:cNvPr id="16566" name="Group Box 182" hidden="1">
              <a:extLst>
                <a:ext uri="{63B3BB69-23CF-44E3-9099-C40C66FF867C}">
                  <a14:compatExt spid="_x0000_s16566"/>
                </a:ext>
                <a:ext uri="{FF2B5EF4-FFF2-40B4-BE49-F238E27FC236}">
                  <a16:creationId xmlns:a16="http://schemas.microsoft.com/office/drawing/2014/main" id="{00000000-0008-0000-0A00-0000B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78</xdr:row>
          <xdr:rowOff>38100</xdr:rowOff>
        </xdr:from>
        <xdr:to>
          <xdr:col>3</xdr:col>
          <xdr:colOff>962025</xdr:colOff>
          <xdr:row>78</xdr:row>
          <xdr:rowOff>228600</xdr:rowOff>
        </xdr:to>
        <xdr:sp macro="" textlink="">
          <xdr:nvSpPr>
            <xdr:cNvPr id="16567" name="Option Button 183" hidden="1">
              <a:extLst>
                <a:ext uri="{63B3BB69-23CF-44E3-9099-C40C66FF867C}">
                  <a14:compatExt spid="_x0000_s16567"/>
                </a:ext>
                <a:ext uri="{FF2B5EF4-FFF2-40B4-BE49-F238E27FC236}">
                  <a16:creationId xmlns:a16="http://schemas.microsoft.com/office/drawing/2014/main" id="{00000000-0008-0000-0A00-0000B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78</xdr:row>
          <xdr:rowOff>28575</xdr:rowOff>
        </xdr:from>
        <xdr:to>
          <xdr:col>4</xdr:col>
          <xdr:colOff>923925</xdr:colOff>
          <xdr:row>78</xdr:row>
          <xdr:rowOff>209550</xdr:rowOff>
        </xdr:to>
        <xdr:sp macro="" textlink="">
          <xdr:nvSpPr>
            <xdr:cNvPr id="16568" name="Option Button 184" hidden="1">
              <a:extLst>
                <a:ext uri="{63B3BB69-23CF-44E3-9099-C40C66FF867C}">
                  <a14:compatExt spid="_x0000_s16568"/>
                </a:ext>
                <a:ext uri="{FF2B5EF4-FFF2-40B4-BE49-F238E27FC236}">
                  <a16:creationId xmlns:a16="http://schemas.microsoft.com/office/drawing/2014/main" id="{00000000-0008-0000-0A00-0000B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81</xdr:row>
          <xdr:rowOff>9525</xdr:rowOff>
        </xdr:from>
        <xdr:to>
          <xdr:col>5</xdr:col>
          <xdr:colOff>0</xdr:colOff>
          <xdr:row>82</xdr:row>
          <xdr:rowOff>0</xdr:rowOff>
        </xdr:to>
        <xdr:sp macro="" textlink="">
          <xdr:nvSpPr>
            <xdr:cNvPr id="16569" name="Group Box 185" hidden="1">
              <a:extLst>
                <a:ext uri="{63B3BB69-23CF-44E3-9099-C40C66FF867C}">
                  <a14:compatExt spid="_x0000_s16569"/>
                </a:ext>
                <a:ext uri="{FF2B5EF4-FFF2-40B4-BE49-F238E27FC236}">
                  <a16:creationId xmlns:a16="http://schemas.microsoft.com/office/drawing/2014/main" id="{00000000-0008-0000-0A00-0000B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81</xdr:row>
          <xdr:rowOff>38100</xdr:rowOff>
        </xdr:from>
        <xdr:to>
          <xdr:col>3</xdr:col>
          <xdr:colOff>962025</xdr:colOff>
          <xdr:row>81</xdr:row>
          <xdr:rowOff>228600</xdr:rowOff>
        </xdr:to>
        <xdr:sp macro="" textlink="">
          <xdr:nvSpPr>
            <xdr:cNvPr id="16570" name="Option Button 186" hidden="1">
              <a:extLst>
                <a:ext uri="{63B3BB69-23CF-44E3-9099-C40C66FF867C}">
                  <a14:compatExt spid="_x0000_s16570"/>
                </a:ext>
                <a:ext uri="{FF2B5EF4-FFF2-40B4-BE49-F238E27FC236}">
                  <a16:creationId xmlns:a16="http://schemas.microsoft.com/office/drawing/2014/main" id="{00000000-0008-0000-0A00-0000B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81</xdr:row>
          <xdr:rowOff>28575</xdr:rowOff>
        </xdr:from>
        <xdr:to>
          <xdr:col>4</xdr:col>
          <xdr:colOff>923925</xdr:colOff>
          <xdr:row>81</xdr:row>
          <xdr:rowOff>209550</xdr:rowOff>
        </xdr:to>
        <xdr:sp macro="" textlink="">
          <xdr:nvSpPr>
            <xdr:cNvPr id="16571" name="Option Button 187" hidden="1">
              <a:extLst>
                <a:ext uri="{63B3BB69-23CF-44E3-9099-C40C66FF867C}">
                  <a14:compatExt spid="_x0000_s16571"/>
                </a:ext>
                <a:ext uri="{FF2B5EF4-FFF2-40B4-BE49-F238E27FC236}">
                  <a16:creationId xmlns:a16="http://schemas.microsoft.com/office/drawing/2014/main" id="{00000000-0008-0000-0A00-0000B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82</xdr:row>
          <xdr:rowOff>9525</xdr:rowOff>
        </xdr:from>
        <xdr:to>
          <xdr:col>5</xdr:col>
          <xdr:colOff>0</xdr:colOff>
          <xdr:row>83</xdr:row>
          <xdr:rowOff>0</xdr:rowOff>
        </xdr:to>
        <xdr:sp macro="" textlink="">
          <xdr:nvSpPr>
            <xdr:cNvPr id="16572" name="Group Box 188" hidden="1">
              <a:extLst>
                <a:ext uri="{63B3BB69-23CF-44E3-9099-C40C66FF867C}">
                  <a14:compatExt spid="_x0000_s16572"/>
                </a:ext>
                <a:ext uri="{FF2B5EF4-FFF2-40B4-BE49-F238E27FC236}">
                  <a16:creationId xmlns:a16="http://schemas.microsoft.com/office/drawing/2014/main" id="{00000000-0008-0000-0A00-0000B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82</xdr:row>
          <xdr:rowOff>38100</xdr:rowOff>
        </xdr:from>
        <xdr:to>
          <xdr:col>3</xdr:col>
          <xdr:colOff>962025</xdr:colOff>
          <xdr:row>82</xdr:row>
          <xdr:rowOff>228600</xdr:rowOff>
        </xdr:to>
        <xdr:sp macro="" textlink="">
          <xdr:nvSpPr>
            <xdr:cNvPr id="16573" name="Option Button 189" hidden="1">
              <a:extLst>
                <a:ext uri="{63B3BB69-23CF-44E3-9099-C40C66FF867C}">
                  <a14:compatExt spid="_x0000_s16573"/>
                </a:ext>
                <a:ext uri="{FF2B5EF4-FFF2-40B4-BE49-F238E27FC236}">
                  <a16:creationId xmlns:a16="http://schemas.microsoft.com/office/drawing/2014/main" id="{00000000-0008-0000-0A00-0000B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82</xdr:row>
          <xdr:rowOff>28575</xdr:rowOff>
        </xdr:from>
        <xdr:to>
          <xdr:col>4</xdr:col>
          <xdr:colOff>923925</xdr:colOff>
          <xdr:row>82</xdr:row>
          <xdr:rowOff>209550</xdr:rowOff>
        </xdr:to>
        <xdr:sp macro="" textlink="">
          <xdr:nvSpPr>
            <xdr:cNvPr id="16574" name="Option Button 190" hidden="1">
              <a:extLst>
                <a:ext uri="{63B3BB69-23CF-44E3-9099-C40C66FF867C}">
                  <a14:compatExt spid="_x0000_s16574"/>
                </a:ext>
                <a:ext uri="{FF2B5EF4-FFF2-40B4-BE49-F238E27FC236}">
                  <a16:creationId xmlns:a16="http://schemas.microsoft.com/office/drawing/2014/main" id="{00000000-0008-0000-0A00-0000B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83</xdr:row>
          <xdr:rowOff>9525</xdr:rowOff>
        </xdr:from>
        <xdr:to>
          <xdr:col>5</xdr:col>
          <xdr:colOff>0</xdr:colOff>
          <xdr:row>84</xdr:row>
          <xdr:rowOff>0</xdr:rowOff>
        </xdr:to>
        <xdr:sp macro="" textlink="">
          <xdr:nvSpPr>
            <xdr:cNvPr id="16575" name="Group Box 191" hidden="1">
              <a:extLst>
                <a:ext uri="{63B3BB69-23CF-44E3-9099-C40C66FF867C}">
                  <a14:compatExt spid="_x0000_s16575"/>
                </a:ext>
                <a:ext uri="{FF2B5EF4-FFF2-40B4-BE49-F238E27FC236}">
                  <a16:creationId xmlns:a16="http://schemas.microsoft.com/office/drawing/2014/main" id="{00000000-0008-0000-0A00-0000B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83</xdr:row>
          <xdr:rowOff>38100</xdr:rowOff>
        </xdr:from>
        <xdr:to>
          <xdr:col>3</xdr:col>
          <xdr:colOff>962025</xdr:colOff>
          <xdr:row>83</xdr:row>
          <xdr:rowOff>228600</xdr:rowOff>
        </xdr:to>
        <xdr:sp macro="" textlink="">
          <xdr:nvSpPr>
            <xdr:cNvPr id="16576" name="Option Button 192" hidden="1">
              <a:extLst>
                <a:ext uri="{63B3BB69-23CF-44E3-9099-C40C66FF867C}">
                  <a14:compatExt spid="_x0000_s16576"/>
                </a:ext>
                <a:ext uri="{FF2B5EF4-FFF2-40B4-BE49-F238E27FC236}">
                  <a16:creationId xmlns:a16="http://schemas.microsoft.com/office/drawing/2014/main" id="{00000000-0008-0000-0A00-0000C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83</xdr:row>
          <xdr:rowOff>28575</xdr:rowOff>
        </xdr:from>
        <xdr:to>
          <xdr:col>4</xdr:col>
          <xdr:colOff>923925</xdr:colOff>
          <xdr:row>83</xdr:row>
          <xdr:rowOff>209550</xdr:rowOff>
        </xdr:to>
        <xdr:sp macro="" textlink="">
          <xdr:nvSpPr>
            <xdr:cNvPr id="16577" name="Option Button 193" hidden="1">
              <a:extLst>
                <a:ext uri="{63B3BB69-23CF-44E3-9099-C40C66FF867C}">
                  <a14:compatExt spid="_x0000_s16577"/>
                </a:ext>
                <a:ext uri="{FF2B5EF4-FFF2-40B4-BE49-F238E27FC236}">
                  <a16:creationId xmlns:a16="http://schemas.microsoft.com/office/drawing/2014/main" id="{00000000-0008-0000-0A00-0000C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84</xdr:row>
          <xdr:rowOff>9525</xdr:rowOff>
        </xdr:from>
        <xdr:to>
          <xdr:col>5</xdr:col>
          <xdr:colOff>0</xdr:colOff>
          <xdr:row>85</xdr:row>
          <xdr:rowOff>0</xdr:rowOff>
        </xdr:to>
        <xdr:sp macro="" textlink="">
          <xdr:nvSpPr>
            <xdr:cNvPr id="16578" name="Group Box 194" hidden="1">
              <a:extLst>
                <a:ext uri="{63B3BB69-23CF-44E3-9099-C40C66FF867C}">
                  <a14:compatExt spid="_x0000_s16578"/>
                </a:ext>
                <a:ext uri="{FF2B5EF4-FFF2-40B4-BE49-F238E27FC236}">
                  <a16:creationId xmlns:a16="http://schemas.microsoft.com/office/drawing/2014/main" id="{00000000-0008-0000-0A00-0000C2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84</xdr:row>
          <xdr:rowOff>38100</xdr:rowOff>
        </xdr:from>
        <xdr:to>
          <xdr:col>3</xdr:col>
          <xdr:colOff>962025</xdr:colOff>
          <xdr:row>84</xdr:row>
          <xdr:rowOff>228600</xdr:rowOff>
        </xdr:to>
        <xdr:sp macro="" textlink="">
          <xdr:nvSpPr>
            <xdr:cNvPr id="16579" name="Option Button 195" hidden="1">
              <a:extLst>
                <a:ext uri="{63B3BB69-23CF-44E3-9099-C40C66FF867C}">
                  <a14:compatExt spid="_x0000_s16579"/>
                </a:ext>
                <a:ext uri="{FF2B5EF4-FFF2-40B4-BE49-F238E27FC236}">
                  <a16:creationId xmlns:a16="http://schemas.microsoft.com/office/drawing/2014/main" id="{00000000-0008-0000-0A00-0000C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84</xdr:row>
          <xdr:rowOff>28575</xdr:rowOff>
        </xdr:from>
        <xdr:to>
          <xdr:col>4</xdr:col>
          <xdr:colOff>923925</xdr:colOff>
          <xdr:row>84</xdr:row>
          <xdr:rowOff>209550</xdr:rowOff>
        </xdr:to>
        <xdr:sp macro="" textlink="">
          <xdr:nvSpPr>
            <xdr:cNvPr id="16580" name="Option Button 196" hidden="1">
              <a:extLst>
                <a:ext uri="{63B3BB69-23CF-44E3-9099-C40C66FF867C}">
                  <a14:compatExt spid="_x0000_s16580"/>
                </a:ext>
                <a:ext uri="{FF2B5EF4-FFF2-40B4-BE49-F238E27FC236}">
                  <a16:creationId xmlns:a16="http://schemas.microsoft.com/office/drawing/2014/main" id="{00000000-0008-0000-0A00-0000C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85</xdr:row>
          <xdr:rowOff>9525</xdr:rowOff>
        </xdr:from>
        <xdr:to>
          <xdr:col>5</xdr:col>
          <xdr:colOff>0</xdr:colOff>
          <xdr:row>86</xdr:row>
          <xdr:rowOff>0</xdr:rowOff>
        </xdr:to>
        <xdr:sp macro="" textlink="">
          <xdr:nvSpPr>
            <xdr:cNvPr id="16581" name="Group Box 197" hidden="1">
              <a:extLst>
                <a:ext uri="{63B3BB69-23CF-44E3-9099-C40C66FF867C}">
                  <a14:compatExt spid="_x0000_s16581"/>
                </a:ext>
                <a:ext uri="{FF2B5EF4-FFF2-40B4-BE49-F238E27FC236}">
                  <a16:creationId xmlns:a16="http://schemas.microsoft.com/office/drawing/2014/main" id="{00000000-0008-0000-0A00-0000C5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85</xdr:row>
          <xdr:rowOff>38100</xdr:rowOff>
        </xdr:from>
        <xdr:to>
          <xdr:col>3</xdr:col>
          <xdr:colOff>962025</xdr:colOff>
          <xdr:row>85</xdr:row>
          <xdr:rowOff>228600</xdr:rowOff>
        </xdr:to>
        <xdr:sp macro="" textlink="">
          <xdr:nvSpPr>
            <xdr:cNvPr id="16582" name="Option Button 198" hidden="1">
              <a:extLst>
                <a:ext uri="{63B3BB69-23CF-44E3-9099-C40C66FF867C}">
                  <a14:compatExt spid="_x0000_s16582"/>
                </a:ext>
                <a:ext uri="{FF2B5EF4-FFF2-40B4-BE49-F238E27FC236}">
                  <a16:creationId xmlns:a16="http://schemas.microsoft.com/office/drawing/2014/main" id="{00000000-0008-0000-0A00-0000C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85</xdr:row>
          <xdr:rowOff>28575</xdr:rowOff>
        </xdr:from>
        <xdr:to>
          <xdr:col>4</xdr:col>
          <xdr:colOff>923925</xdr:colOff>
          <xdr:row>85</xdr:row>
          <xdr:rowOff>209550</xdr:rowOff>
        </xdr:to>
        <xdr:sp macro="" textlink="">
          <xdr:nvSpPr>
            <xdr:cNvPr id="16583" name="Option Button 199" hidden="1">
              <a:extLst>
                <a:ext uri="{63B3BB69-23CF-44E3-9099-C40C66FF867C}">
                  <a14:compatExt spid="_x0000_s16583"/>
                </a:ext>
                <a:ext uri="{FF2B5EF4-FFF2-40B4-BE49-F238E27FC236}">
                  <a16:creationId xmlns:a16="http://schemas.microsoft.com/office/drawing/2014/main" id="{00000000-0008-0000-0A00-0000C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88</xdr:row>
          <xdr:rowOff>9525</xdr:rowOff>
        </xdr:from>
        <xdr:to>
          <xdr:col>5</xdr:col>
          <xdr:colOff>0</xdr:colOff>
          <xdr:row>89</xdr:row>
          <xdr:rowOff>0</xdr:rowOff>
        </xdr:to>
        <xdr:sp macro="" textlink="">
          <xdr:nvSpPr>
            <xdr:cNvPr id="16584" name="Group Box 200" hidden="1">
              <a:extLst>
                <a:ext uri="{63B3BB69-23CF-44E3-9099-C40C66FF867C}">
                  <a14:compatExt spid="_x0000_s16584"/>
                </a:ext>
                <a:ext uri="{FF2B5EF4-FFF2-40B4-BE49-F238E27FC236}">
                  <a16:creationId xmlns:a16="http://schemas.microsoft.com/office/drawing/2014/main" id="{00000000-0008-0000-0A00-0000C8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88</xdr:row>
          <xdr:rowOff>38100</xdr:rowOff>
        </xdr:from>
        <xdr:to>
          <xdr:col>3</xdr:col>
          <xdr:colOff>962025</xdr:colOff>
          <xdr:row>88</xdr:row>
          <xdr:rowOff>228600</xdr:rowOff>
        </xdr:to>
        <xdr:sp macro="" textlink="">
          <xdr:nvSpPr>
            <xdr:cNvPr id="16585" name="Option Button 201" hidden="1">
              <a:extLst>
                <a:ext uri="{63B3BB69-23CF-44E3-9099-C40C66FF867C}">
                  <a14:compatExt spid="_x0000_s16585"/>
                </a:ext>
                <a:ext uri="{FF2B5EF4-FFF2-40B4-BE49-F238E27FC236}">
                  <a16:creationId xmlns:a16="http://schemas.microsoft.com/office/drawing/2014/main" id="{00000000-0008-0000-0A00-0000C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88</xdr:row>
          <xdr:rowOff>28575</xdr:rowOff>
        </xdr:from>
        <xdr:to>
          <xdr:col>4</xdr:col>
          <xdr:colOff>923925</xdr:colOff>
          <xdr:row>88</xdr:row>
          <xdr:rowOff>209550</xdr:rowOff>
        </xdr:to>
        <xdr:sp macro="" textlink="">
          <xdr:nvSpPr>
            <xdr:cNvPr id="16586" name="Option Button 202" hidden="1">
              <a:extLst>
                <a:ext uri="{63B3BB69-23CF-44E3-9099-C40C66FF867C}">
                  <a14:compatExt spid="_x0000_s16586"/>
                </a:ext>
                <a:ext uri="{FF2B5EF4-FFF2-40B4-BE49-F238E27FC236}">
                  <a16:creationId xmlns:a16="http://schemas.microsoft.com/office/drawing/2014/main" id="{00000000-0008-0000-0A00-0000C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89</xdr:row>
          <xdr:rowOff>9525</xdr:rowOff>
        </xdr:from>
        <xdr:to>
          <xdr:col>5</xdr:col>
          <xdr:colOff>0</xdr:colOff>
          <xdr:row>90</xdr:row>
          <xdr:rowOff>0</xdr:rowOff>
        </xdr:to>
        <xdr:sp macro="" textlink="">
          <xdr:nvSpPr>
            <xdr:cNvPr id="16587" name="Group Box 203" hidden="1">
              <a:extLst>
                <a:ext uri="{63B3BB69-23CF-44E3-9099-C40C66FF867C}">
                  <a14:compatExt spid="_x0000_s16587"/>
                </a:ext>
                <a:ext uri="{FF2B5EF4-FFF2-40B4-BE49-F238E27FC236}">
                  <a16:creationId xmlns:a16="http://schemas.microsoft.com/office/drawing/2014/main" id="{00000000-0008-0000-0A00-0000CB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89</xdr:row>
          <xdr:rowOff>38100</xdr:rowOff>
        </xdr:from>
        <xdr:to>
          <xdr:col>3</xdr:col>
          <xdr:colOff>962025</xdr:colOff>
          <xdr:row>89</xdr:row>
          <xdr:rowOff>228600</xdr:rowOff>
        </xdr:to>
        <xdr:sp macro="" textlink="">
          <xdr:nvSpPr>
            <xdr:cNvPr id="16588" name="Option Button 204" hidden="1">
              <a:extLst>
                <a:ext uri="{63B3BB69-23CF-44E3-9099-C40C66FF867C}">
                  <a14:compatExt spid="_x0000_s16588"/>
                </a:ext>
                <a:ext uri="{FF2B5EF4-FFF2-40B4-BE49-F238E27FC236}">
                  <a16:creationId xmlns:a16="http://schemas.microsoft.com/office/drawing/2014/main" id="{00000000-0008-0000-0A00-0000C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89</xdr:row>
          <xdr:rowOff>28575</xdr:rowOff>
        </xdr:from>
        <xdr:to>
          <xdr:col>4</xdr:col>
          <xdr:colOff>923925</xdr:colOff>
          <xdr:row>89</xdr:row>
          <xdr:rowOff>209550</xdr:rowOff>
        </xdr:to>
        <xdr:sp macro="" textlink="">
          <xdr:nvSpPr>
            <xdr:cNvPr id="16589" name="Option Button 205" hidden="1">
              <a:extLst>
                <a:ext uri="{63B3BB69-23CF-44E3-9099-C40C66FF867C}">
                  <a14:compatExt spid="_x0000_s16589"/>
                </a:ext>
                <a:ext uri="{FF2B5EF4-FFF2-40B4-BE49-F238E27FC236}">
                  <a16:creationId xmlns:a16="http://schemas.microsoft.com/office/drawing/2014/main" id="{00000000-0008-0000-0A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90</xdr:row>
          <xdr:rowOff>9525</xdr:rowOff>
        </xdr:from>
        <xdr:to>
          <xdr:col>5</xdr:col>
          <xdr:colOff>0</xdr:colOff>
          <xdr:row>91</xdr:row>
          <xdr:rowOff>0</xdr:rowOff>
        </xdr:to>
        <xdr:sp macro="" textlink="">
          <xdr:nvSpPr>
            <xdr:cNvPr id="16590" name="Group Box 206" hidden="1">
              <a:extLst>
                <a:ext uri="{63B3BB69-23CF-44E3-9099-C40C66FF867C}">
                  <a14:compatExt spid="_x0000_s16590"/>
                </a:ext>
                <a:ext uri="{FF2B5EF4-FFF2-40B4-BE49-F238E27FC236}">
                  <a16:creationId xmlns:a16="http://schemas.microsoft.com/office/drawing/2014/main" id="{00000000-0008-0000-0A00-0000CE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90</xdr:row>
          <xdr:rowOff>38100</xdr:rowOff>
        </xdr:from>
        <xdr:to>
          <xdr:col>3</xdr:col>
          <xdr:colOff>962025</xdr:colOff>
          <xdr:row>90</xdr:row>
          <xdr:rowOff>228600</xdr:rowOff>
        </xdr:to>
        <xdr:sp macro="" textlink="">
          <xdr:nvSpPr>
            <xdr:cNvPr id="16591" name="Option Button 207" hidden="1">
              <a:extLst>
                <a:ext uri="{63B3BB69-23CF-44E3-9099-C40C66FF867C}">
                  <a14:compatExt spid="_x0000_s16591"/>
                </a:ext>
                <a:ext uri="{FF2B5EF4-FFF2-40B4-BE49-F238E27FC236}">
                  <a16:creationId xmlns:a16="http://schemas.microsoft.com/office/drawing/2014/main" id="{00000000-0008-0000-0A00-0000C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90</xdr:row>
          <xdr:rowOff>28575</xdr:rowOff>
        </xdr:from>
        <xdr:to>
          <xdr:col>4</xdr:col>
          <xdr:colOff>923925</xdr:colOff>
          <xdr:row>90</xdr:row>
          <xdr:rowOff>209550</xdr:rowOff>
        </xdr:to>
        <xdr:sp macro="" textlink="">
          <xdr:nvSpPr>
            <xdr:cNvPr id="16592" name="Option Button 208" hidden="1">
              <a:extLst>
                <a:ext uri="{63B3BB69-23CF-44E3-9099-C40C66FF867C}">
                  <a14:compatExt spid="_x0000_s16592"/>
                </a:ext>
                <a:ext uri="{FF2B5EF4-FFF2-40B4-BE49-F238E27FC236}">
                  <a16:creationId xmlns:a16="http://schemas.microsoft.com/office/drawing/2014/main" id="{00000000-0008-0000-0A00-0000D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91</xdr:row>
          <xdr:rowOff>9525</xdr:rowOff>
        </xdr:from>
        <xdr:to>
          <xdr:col>5</xdr:col>
          <xdr:colOff>0</xdr:colOff>
          <xdr:row>92</xdr:row>
          <xdr:rowOff>0</xdr:rowOff>
        </xdr:to>
        <xdr:sp macro="" textlink="">
          <xdr:nvSpPr>
            <xdr:cNvPr id="16593" name="Group Box 209" hidden="1">
              <a:extLst>
                <a:ext uri="{63B3BB69-23CF-44E3-9099-C40C66FF867C}">
                  <a14:compatExt spid="_x0000_s16593"/>
                </a:ext>
                <a:ext uri="{FF2B5EF4-FFF2-40B4-BE49-F238E27FC236}">
                  <a16:creationId xmlns:a16="http://schemas.microsoft.com/office/drawing/2014/main" id="{00000000-0008-0000-0A00-0000D1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91</xdr:row>
          <xdr:rowOff>38100</xdr:rowOff>
        </xdr:from>
        <xdr:to>
          <xdr:col>3</xdr:col>
          <xdr:colOff>962025</xdr:colOff>
          <xdr:row>91</xdr:row>
          <xdr:rowOff>228600</xdr:rowOff>
        </xdr:to>
        <xdr:sp macro="" textlink="">
          <xdr:nvSpPr>
            <xdr:cNvPr id="16594" name="Option Button 210" hidden="1">
              <a:extLst>
                <a:ext uri="{63B3BB69-23CF-44E3-9099-C40C66FF867C}">
                  <a14:compatExt spid="_x0000_s16594"/>
                </a:ext>
                <a:ext uri="{FF2B5EF4-FFF2-40B4-BE49-F238E27FC236}">
                  <a16:creationId xmlns:a16="http://schemas.microsoft.com/office/drawing/2014/main" id="{00000000-0008-0000-0A00-0000D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91</xdr:row>
          <xdr:rowOff>28575</xdr:rowOff>
        </xdr:from>
        <xdr:to>
          <xdr:col>4</xdr:col>
          <xdr:colOff>923925</xdr:colOff>
          <xdr:row>91</xdr:row>
          <xdr:rowOff>209550</xdr:rowOff>
        </xdr:to>
        <xdr:sp macro="" textlink="">
          <xdr:nvSpPr>
            <xdr:cNvPr id="16595" name="Option Button 211" hidden="1">
              <a:extLst>
                <a:ext uri="{63B3BB69-23CF-44E3-9099-C40C66FF867C}">
                  <a14:compatExt spid="_x0000_s16595"/>
                </a:ext>
                <a:ext uri="{FF2B5EF4-FFF2-40B4-BE49-F238E27FC236}">
                  <a16:creationId xmlns:a16="http://schemas.microsoft.com/office/drawing/2014/main" id="{00000000-0008-0000-0A00-0000D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92</xdr:row>
          <xdr:rowOff>9525</xdr:rowOff>
        </xdr:from>
        <xdr:to>
          <xdr:col>5</xdr:col>
          <xdr:colOff>0</xdr:colOff>
          <xdr:row>93</xdr:row>
          <xdr:rowOff>0</xdr:rowOff>
        </xdr:to>
        <xdr:sp macro="" textlink="">
          <xdr:nvSpPr>
            <xdr:cNvPr id="16596" name="Group Box 212" hidden="1">
              <a:extLst>
                <a:ext uri="{63B3BB69-23CF-44E3-9099-C40C66FF867C}">
                  <a14:compatExt spid="_x0000_s16596"/>
                </a:ext>
                <a:ext uri="{FF2B5EF4-FFF2-40B4-BE49-F238E27FC236}">
                  <a16:creationId xmlns:a16="http://schemas.microsoft.com/office/drawing/2014/main" id="{00000000-0008-0000-0A00-0000D4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92</xdr:row>
          <xdr:rowOff>38100</xdr:rowOff>
        </xdr:from>
        <xdr:to>
          <xdr:col>3</xdr:col>
          <xdr:colOff>962025</xdr:colOff>
          <xdr:row>92</xdr:row>
          <xdr:rowOff>228600</xdr:rowOff>
        </xdr:to>
        <xdr:sp macro="" textlink="">
          <xdr:nvSpPr>
            <xdr:cNvPr id="16597" name="Option Button 213" hidden="1">
              <a:extLst>
                <a:ext uri="{63B3BB69-23CF-44E3-9099-C40C66FF867C}">
                  <a14:compatExt spid="_x0000_s16597"/>
                </a:ext>
                <a:ext uri="{FF2B5EF4-FFF2-40B4-BE49-F238E27FC236}">
                  <a16:creationId xmlns:a16="http://schemas.microsoft.com/office/drawing/2014/main" id="{00000000-0008-0000-0A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92</xdr:row>
          <xdr:rowOff>28575</xdr:rowOff>
        </xdr:from>
        <xdr:to>
          <xdr:col>4</xdr:col>
          <xdr:colOff>923925</xdr:colOff>
          <xdr:row>92</xdr:row>
          <xdr:rowOff>209550</xdr:rowOff>
        </xdr:to>
        <xdr:sp macro="" textlink="">
          <xdr:nvSpPr>
            <xdr:cNvPr id="16598" name="Option Button 214" hidden="1">
              <a:extLst>
                <a:ext uri="{63B3BB69-23CF-44E3-9099-C40C66FF867C}">
                  <a14:compatExt spid="_x0000_s16598"/>
                </a:ext>
                <a:ext uri="{FF2B5EF4-FFF2-40B4-BE49-F238E27FC236}">
                  <a16:creationId xmlns:a16="http://schemas.microsoft.com/office/drawing/2014/main" id="{00000000-0008-0000-0A00-0000D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95</xdr:row>
          <xdr:rowOff>9525</xdr:rowOff>
        </xdr:from>
        <xdr:to>
          <xdr:col>5</xdr:col>
          <xdr:colOff>0</xdr:colOff>
          <xdr:row>96</xdr:row>
          <xdr:rowOff>0</xdr:rowOff>
        </xdr:to>
        <xdr:sp macro="" textlink="">
          <xdr:nvSpPr>
            <xdr:cNvPr id="16599" name="Group Box 215" hidden="1">
              <a:extLst>
                <a:ext uri="{63B3BB69-23CF-44E3-9099-C40C66FF867C}">
                  <a14:compatExt spid="_x0000_s16599"/>
                </a:ext>
                <a:ext uri="{FF2B5EF4-FFF2-40B4-BE49-F238E27FC236}">
                  <a16:creationId xmlns:a16="http://schemas.microsoft.com/office/drawing/2014/main" id="{00000000-0008-0000-0A00-0000D7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95</xdr:row>
          <xdr:rowOff>38100</xdr:rowOff>
        </xdr:from>
        <xdr:to>
          <xdr:col>3</xdr:col>
          <xdr:colOff>962025</xdr:colOff>
          <xdr:row>95</xdr:row>
          <xdr:rowOff>228600</xdr:rowOff>
        </xdr:to>
        <xdr:sp macro="" textlink="">
          <xdr:nvSpPr>
            <xdr:cNvPr id="16600" name="Option Button 216" hidden="1">
              <a:extLst>
                <a:ext uri="{63B3BB69-23CF-44E3-9099-C40C66FF867C}">
                  <a14:compatExt spid="_x0000_s16600"/>
                </a:ext>
                <a:ext uri="{FF2B5EF4-FFF2-40B4-BE49-F238E27FC236}">
                  <a16:creationId xmlns:a16="http://schemas.microsoft.com/office/drawing/2014/main" id="{00000000-0008-0000-0A00-0000D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95</xdr:row>
          <xdr:rowOff>28575</xdr:rowOff>
        </xdr:from>
        <xdr:to>
          <xdr:col>4</xdr:col>
          <xdr:colOff>923925</xdr:colOff>
          <xdr:row>95</xdr:row>
          <xdr:rowOff>209550</xdr:rowOff>
        </xdr:to>
        <xdr:sp macro="" textlink="">
          <xdr:nvSpPr>
            <xdr:cNvPr id="16601" name="Option Button 217" hidden="1">
              <a:extLst>
                <a:ext uri="{63B3BB69-23CF-44E3-9099-C40C66FF867C}">
                  <a14:compatExt spid="_x0000_s16601"/>
                </a:ext>
                <a:ext uri="{FF2B5EF4-FFF2-40B4-BE49-F238E27FC236}">
                  <a16:creationId xmlns:a16="http://schemas.microsoft.com/office/drawing/2014/main" id="{00000000-0008-0000-0A00-0000D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96</xdr:row>
          <xdr:rowOff>9525</xdr:rowOff>
        </xdr:from>
        <xdr:to>
          <xdr:col>5</xdr:col>
          <xdr:colOff>0</xdr:colOff>
          <xdr:row>97</xdr:row>
          <xdr:rowOff>0</xdr:rowOff>
        </xdr:to>
        <xdr:sp macro="" textlink="">
          <xdr:nvSpPr>
            <xdr:cNvPr id="16602" name="Group Box 218" hidden="1">
              <a:extLst>
                <a:ext uri="{63B3BB69-23CF-44E3-9099-C40C66FF867C}">
                  <a14:compatExt spid="_x0000_s16602"/>
                </a:ext>
                <a:ext uri="{FF2B5EF4-FFF2-40B4-BE49-F238E27FC236}">
                  <a16:creationId xmlns:a16="http://schemas.microsoft.com/office/drawing/2014/main" id="{00000000-0008-0000-0A00-0000DA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96</xdr:row>
          <xdr:rowOff>38100</xdr:rowOff>
        </xdr:from>
        <xdr:to>
          <xdr:col>3</xdr:col>
          <xdr:colOff>962025</xdr:colOff>
          <xdr:row>96</xdr:row>
          <xdr:rowOff>228600</xdr:rowOff>
        </xdr:to>
        <xdr:sp macro="" textlink="">
          <xdr:nvSpPr>
            <xdr:cNvPr id="16603" name="Option Button 219" hidden="1">
              <a:extLst>
                <a:ext uri="{63B3BB69-23CF-44E3-9099-C40C66FF867C}">
                  <a14:compatExt spid="_x0000_s16603"/>
                </a:ext>
                <a:ext uri="{FF2B5EF4-FFF2-40B4-BE49-F238E27FC236}">
                  <a16:creationId xmlns:a16="http://schemas.microsoft.com/office/drawing/2014/main" id="{00000000-0008-0000-0A00-0000D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96</xdr:row>
          <xdr:rowOff>28575</xdr:rowOff>
        </xdr:from>
        <xdr:to>
          <xdr:col>4</xdr:col>
          <xdr:colOff>923925</xdr:colOff>
          <xdr:row>96</xdr:row>
          <xdr:rowOff>209550</xdr:rowOff>
        </xdr:to>
        <xdr:sp macro="" textlink="">
          <xdr:nvSpPr>
            <xdr:cNvPr id="16604" name="Option Button 220" hidden="1">
              <a:extLst>
                <a:ext uri="{63B3BB69-23CF-44E3-9099-C40C66FF867C}">
                  <a14:compatExt spid="_x0000_s16604"/>
                </a:ext>
                <a:ext uri="{FF2B5EF4-FFF2-40B4-BE49-F238E27FC236}">
                  <a16:creationId xmlns:a16="http://schemas.microsoft.com/office/drawing/2014/main" id="{00000000-0008-0000-0A00-0000D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97</xdr:row>
          <xdr:rowOff>9525</xdr:rowOff>
        </xdr:from>
        <xdr:to>
          <xdr:col>5</xdr:col>
          <xdr:colOff>0</xdr:colOff>
          <xdr:row>98</xdr:row>
          <xdr:rowOff>0</xdr:rowOff>
        </xdr:to>
        <xdr:sp macro="" textlink="">
          <xdr:nvSpPr>
            <xdr:cNvPr id="16605" name="Group Box 221" hidden="1">
              <a:extLst>
                <a:ext uri="{63B3BB69-23CF-44E3-9099-C40C66FF867C}">
                  <a14:compatExt spid="_x0000_s16605"/>
                </a:ext>
                <a:ext uri="{FF2B5EF4-FFF2-40B4-BE49-F238E27FC236}">
                  <a16:creationId xmlns:a16="http://schemas.microsoft.com/office/drawing/2014/main" id="{00000000-0008-0000-0A00-0000DD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97</xdr:row>
          <xdr:rowOff>38100</xdr:rowOff>
        </xdr:from>
        <xdr:to>
          <xdr:col>3</xdr:col>
          <xdr:colOff>962025</xdr:colOff>
          <xdr:row>97</xdr:row>
          <xdr:rowOff>228600</xdr:rowOff>
        </xdr:to>
        <xdr:sp macro="" textlink="">
          <xdr:nvSpPr>
            <xdr:cNvPr id="16606" name="Option Button 222" hidden="1">
              <a:extLst>
                <a:ext uri="{63B3BB69-23CF-44E3-9099-C40C66FF867C}">
                  <a14:compatExt spid="_x0000_s16606"/>
                </a:ext>
                <a:ext uri="{FF2B5EF4-FFF2-40B4-BE49-F238E27FC236}">
                  <a16:creationId xmlns:a16="http://schemas.microsoft.com/office/drawing/2014/main" id="{00000000-0008-0000-0A00-0000D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97</xdr:row>
          <xdr:rowOff>28575</xdr:rowOff>
        </xdr:from>
        <xdr:to>
          <xdr:col>4</xdr:col>
          <xdr:colOff>923925</xdr:colOff>
          <xdr:row>97</xdr:row>
          <xdr:rowOff>209550</xdr:rowOff>
        </xdr:to>
        <xdr:sp macro="" textlink="">
          <xdr:nvSpPr>
            <xdr:cNvPr id="16607" name="Option Button 223" hidden="1">
              <a:extLst>
                <a:ext uri="{63B3BB69-23CF-44E3-9099-C40C66FF867C}">
                  <a14:compatExt spid="_x0000_s16607"/>
                </a:ext>
                <a:ext uri="{FF2B5EF4-FFF2-40B4-BE49-F238E27FC236}">
                  <a16:creationId xmlns:a16="http://schemas.microsoft.com/office/drawing/2014/main" id="{00000000-0008-0000-0A00-0000D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98</xdr:row>
          <xdr:rowOff>9525</xdr:rowOff>
        </xdr:from>
        <xdr:to>
          <xdr:col>5</xdr:col>
          <xdr:colOff>0</xdr:colOff>
          <xdr:row>99</xdr:row>
          <xdr:rowOff>0</xdr:rowOff>
        </xdr:to>
        <xdr:sp macro="" textlink="">
          <xdr:nvSpPr>
            <xdr:cNvPr id="16608" name="Group Box 224" hidden="1">
              <a:extLst>
                <a:ext uri="{63B3BB69-23CF-44E3-9099-C40C66FF867C}">
                  <a14:compatExt spid="_x0000_s16608"/>
                </a:ext>
                <a:ext uri="{FF2B5EF4-FFF2-40B4-BE49-F238E27FC236}">
                  <a16:creationId xmlns:a16="http://schemas.microsoft.com/office/drawing/2014/main" id="{00000000-0008-0000-0A00-0000E0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98</xdr:row>
          <xdr:rowOff>38100</xdr:rowOff>
        </xdr:from>
        <xdr:to>
          <xdr:col>3</xdr:col>
          <xdr:colOff>962025</xdr:colOff>
          <xdr:row>98</xdr:row>
          <xdr:rowOff>228600</xdr:rowOff>
        </xdr:to>
        <xdr:sp macro="" textlink="">
          <xdr:nvSpPr>
            <xdr:cNvPr id="16609" name="Option Button 225" hidden="1">
              <a:extLst>
                <a:ext uri="{63B3BB69-23CF-44E3-9099-C40C66FF867C}">
                  <a14:compatExt spid="_x0000_s16609"/>
                </a:ext>
                <a:ext uri="{FF2B5EF4-FFF2-40B4-BE49-F238E27FC236}">
                  <a16:creationId xmlns:a16="http://schemas.microsoft.com/office/drawing/2014/main" id="{00000000-0008-0000-0A00-0000E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98</xdr:row>
          <xdr:rowOff>28575</xdr:rowOff>
        </xdr:from>
        <xdr:to>
          <xdr:col>4</xdr:col>
          <xdr:colOff>923925</xdr:colOff>
          <xdr:row>98</xdr:row>
          <xdr:rowOff>209550</xdr:rowOff>
        </xdr:to>
        <xdr:sp macro="" textlink="">
          <xdr:nvSpPr>
            <xdr:cNvPr id="16610" name="Option Button 226" hidden="1">
              <a:extLst>
                <a:ext uri="{63B3BB69-23CF-44E3-9099-C40C66FF867C}">
                  <a14:compatExt spid="_x0000_s16610"/>
                </a:ext>
                <a:ext uri="{FF2B5EF4-FFF2-40B4-BE49-F238E27FC236}">
                  <a16:creationId xmlns:a16="http://schemas.microsoft.com/office/drawing/2014/main" id="{00000000-0008-0000-0A00-0000E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1752600</xdr:colOff>
          <xdr:row>99</xdr:row>
          <xdr:rowOff>9525</xdr:rowOff>
        </xdr:from>
        <xdr:to>
          <xdr:col>5</xdr:col>
          <xdr:colOff>0</xdr:colOff>
          <xdr:row>100</xdr:row>
          <xdr:rowOff>0</xdr:rowOff>
        </xdr:to>
        <xdr:sp macro="" textlink="">
          <xdr:nvSpPr>
            <xdr:cNvPr id="16611" name="Group Box 227" hidden="1">
              <a:extLst>
                <a:ext uri="{63B3BB69-23CF-44E3-9099-C40C66FF867C}">
                  <a14:compatExt spid="_x0000_s16611"/>
                </a:ext>
                <a:ext uri="{FF2B5EF4-FFF2-40B4-BE49-F238E27FC236}">
                  <a16:creationId xmlns:a16="http://schemas.microsoft.com/office/drawing/2014/main" id="{00000000-0008-0000-0A00-0000E3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99</xdr:row>
          <xdr:rowOff>38100</xdr:rowOff>
        </xdr:from>
        <xdr:to>
          <xdr:col>3</xdr:col>
          <xdr:colOff>962025</xdr:colOff>
          <xdr:row>99</xdr:row>
          <xdr:rowOff>228600</xdr:rowOff>
        </xdr:to>
        <xdr:sp macro="" textlink="">
          <xdr:nvSpPr>
            <xdr:cNvPr id="16612" name="Option Button 228" hidden="1">
              <a:extLst>
                <a:ext uri="{63B3BB69-23CF-44E3-9099-C40C66FF867C}">
                  <a14:compatExt spid="_x0000_s16612"/>
                </a:ext>
                <a:ext uri="{FF2B5EF4-FFF2-40B4-BE49-F238E27FC236}">
                  <a16:creationId xmlns:a16="http://schemas.microsoft.com/office/drawing/2014/main" id="{00000000-0008-0000-0A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714375</xdr:colOff>
          <xdr:row>99</xdr:row>
          <xdr:rowOff>28575</xdr:rowOff>
        </xdr:from>
        <xdr:to>
          <xdr:col>4</xdr:col>
          <xdr:colOff>923925</xdr:colOff>
          <xdr:row>99</xdr:row>
          <xdr:rowOff>209550</xdr:rowOff>
        </xdr:to>
        <xdr:sp macro="" textlink="">
          <xdr:nvSpPr>
            <xdr:cNvPr id="16613" name="Option Button 229" hidden="1">
              <a:extLst>
                <a:ext uri="{63B3BB69-23CF-44E3-9099-C40C66FF867C}">
                  <a14:compatExt spid="_x0000_s16613"/>
                </a:ext>
                <a:ext uri="{FF2B5EF4-FFF2-40B4-BE49-F238E27FC236}">
                  <a16:creationId xmlns:a16="http://schemas.microsoft.com/office/drawing/2014/main" id="{00000000-0008-0000-0A00-0000E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0</xdr:rowOff>
        </xdr:from>
        <xdr:to>
          <xdr:col>5</xdr:col>
          <xdr:colOff>0</xdr:colOff>
          <xdr:row>46</xdr:row>
          <xdr:rowOff>371475</xdr:rowOff>
        </xdr:to>
        <xdr:sp macro="" textlink="">
          <xdr:nvSpPr>
            <xdr:cNvPr id="16614" name="Group Box 230" hidden="1">
              <a:extLst>
                <a:ext uri="{63B3BB69-23CF-44E3-9099-C40C66FF867C}">
                  <a14:compatExt spid="_x0000_s16614"/>
                </a:ext>
                <a:ext uri="{FF2B5EF4-FFF2-40B4-BE49-F238E27FC236}">
                  <a16:creationId xmlns:a16="http://schemas.microsoft.com/office/drawing/2014/main" id="{00000000-0008-0000-0A00-0000E6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46</xdr:row>
          <xdr:rowOff>104775</xdr:rowOff>
        </xdr:from>
        <xdr:to>
          <xdr:col>3</xdr:col>
          <xdr:colOff>933450</xdr:colOff>
          <xdr:row>46</xdr:row>
          <xdr:rowOff>266700</xdr:rowOff>
        </xdr:to>
        <xdr:sp macro="" textlink="">
          <xdr:nvSpPr>
            <xdr:cNvPr id="16615" name="Option Button 231" hidden="1">
              <a:extLst>
                <a:ext uri="{63B3BB69-23CF-44E3-9099-C40C66FF867C}">
                  <a14:compatExt spid="_x0000_s16615"/>
                </a:ext>
                <a:ext uri="{FF2B5EF4-FFF2-40B4-BE49-F238E27FC236}">
                  <a16:creationId xmlns:a16="http://schemas.microsoft.com/office/drawing/2014/main" id="{00000000-0008-0000-0A00-0000E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46</xdr:row>
          <xdr:rowOff>85725</xdr:rowOff>
        </xdr:from>
        <xdr:to>
          <xdr:col>4</xdr:col>
          <xdr:colOff>895350</xdr:colOff>
          <xdr:row>46</xdr:row>
          <xdr:rowOff>276225</xdr:rowOff>
        </xdr:to>
        <xdr:sp macro="" textlink="">
          <xdr:nvSpPr>
            <xdr:cNvPr id="16616" name="Option Button 232" hidden="1">
              <a:extLst>
                <a:ext uri="{63B3BB69-23CF-44E3-9099-C40C66FF867C}">
                  <a14:compatExt spid="_x0000_s16616"/>
                </a:ext>
                <a:ext uri="{FF2B5EF4-FFF2-40B4-BE49-F238E27FC236}">
                  <a16:creationId xmlns:a16="http://schemas.microsoft.com/office/drawing/2014/main" id="{00000000-0008-0000-0A00-0000E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48</xdr:row>
          <xdr:rowOff>0</xdr:rowOff>
        </xdr:from>
        <xdr:to>
          <xdr:col>5</xdr:col>
          <xdr:colOff>0</xdr:colOff>
          <xdr:row>48</xdr:row>
          <xdr:rowOff>371475</xdr:rowOff>
        </xdr:to>
        <xdr:sp macro="" textlink="">
          <xdr:nvSpPr>
            <xdr:cNvPr id="16617" name="Group Box 233" hidden="1">
              <a:extLst>
                <a:ext uri="{63B3BB69-23CF-44E3-9099-C40C66FF867C}">
                  <a14:compatExt spid="_x0000_s16617"/>
                </a:ext>
                <a:ext uri="{FF2B5EF4-FFF2-40B4-BE49-F238E27FC236}">
                  <a16:creationId xmlns:a16="http://schemas.microsoft.com/office/drawing/2014/main" id="{00000000-0008-0000-0A00-0000E9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48</xdr:row>
          <xdr:rowOff>104775</xdr:rowOff>
        </xdr:from>
        <xdr:to>
          <xdr:col>3</xdr:col>
          <xdr:colOff>933450</xdr:colOff>
          <xdr:row>48</xdr:row>
          <xdr:rowOff>266700</xdr:rowOff>
        </xdr:to>
        <xdr:sp macro="" textlink="">
          <xdr:nvSpPr>
            <xdr:cNvPr id="16618" name="Option Button 234" hidden="1">
              <a:extLst>
                <a:ext uri="{63B3BB69-23CF-44E3-9099-C40C66FF867C}">
                  <a14:compatExt spid="_x0000_s16618"/>
                </a:ext>
                <a:ext uri="{FF2B5EF4-FFF2-40B4-BE49-F238E27FC236}">
                  <a16:creationId xmlns:a16="http://schemas.microsoft.com/office/drawing/2014/main" id="{00000000-0008-0000-0A00-0000E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48</xdr:row>
          <xdr:rowOff>85725</xdr:rowOff>
        </xdr:from>
        <xdr:to>
          <xdr:col>4</xdr:col>
          <xdr:colOff>895350</xdr:colOff>
          <xdr:row>48</xdr:row>
          <xdr:rowOff>276225</xdr:rowOff>
        </xdr:to>
        <xdr:sp macro="" textlink="">
          <xdr:nvSpPr>
            <xdr:cNvPr id="16619" name="Option Button 235" hidden="1">
              <a:extLst>
                <a:ext uri="{63B3BB69-23CF-44E3-9099-C40C66FF867C}">
                  <a14:compatExt spid="_x0000_s16619"/>
                </a:ext>
                <a:ext uri="{FF2B5EF4-FFF2-40B4-BE49-F238E27FC236}">
                  <a16:creationId xmlns:a16="http://schemas.microsoft.com/office/drawing/2014/main" id="{00000000-0008-0000-0A00-0000E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5</xdr:col>
          <xdr:colOff>0</xdr:colOff>
          <xdr:row>50</xdr:row>
          <xdr:rowOff>371475</xdr:rowOff>
        </xdr:to>
        <xdr:sp macro="" textlink="">
          <xdr:nvSpPr>
            <xdr:cNvPr id="16620" name="Group Box 236" hidden="1">
              <a:extLst>
                <a:ext uri="{63B3BB69-23CF-44E3-9099-C40C66FF867C}">
                  <a14:compatExt spid="_x0000_s16620"/>
                </a:ext>
                <a:ext uri="{FF2B5EF4-FFF2-40B4-BE49-F238E27FC236}">
                  <a16:creationId xmlns:a16="http://schemas.microsoft.com/office/drawing/2014/main" id="{00000000-0008-0000-0A00-0000EC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50</xdr:row>
          <xdr:rowOff>104775</xdr:rowOff>
        </xdr:from>
        <xdr:to>
          <xdr:col>3</xdr:col>
          <xdr:colOff>933450</xdr:colOff>
          <xdr:row>50</xdr:row>
          <xdr:rowOff>266700</xdr:rowOff>
        </xdr:to>
        <xdr:sp macro="" textlink="">
          <xdr:nvSpPr>
            <xdr:cNvPr id="16621" name="Option Button 237" hidden="1">
              <a:extLst>
                <a:ext uri="{63B3BB69-23CF-44E3-9099-C40C66FF867C}">
                  <a14:compatExt spid="_x0000_s16621"/>
                </a:ext>
                <a:ext uri="{FF2B5EF4-FFF2-40B4-BE49-F238E27FC236}">
                  <a16:creationId xmlns:a16="http://schemas.microsoft.com/office/drawing/2014/main" id="{00000000-0008-0000-0A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695325</xdr:colOff>
          <xdr:row>50</xdr:row>
          <xdr:rowOff>85725</xdr:rowOff>
        </xdr:from>
        <xdr:to>
          <xdr:col>4</xdr:col>
          <xdr:colOff>895350</xdr:colOff>
          <xdr:row>50</xdr:row>
          <xdr:rowOff>276225</xdr:rowOff>
        </xdr:to>
        <xdr:sp macro="" textlink="">
          <xdr:nvSpPr>
            <xdr:cNvPr id="16622" name="Option Button 238" hidden="1">
              <a:extLst>
                <a:ext uri="{63B3BB69-23CF-44E3-9099-C40C66FF867C}">
                  <a14:compatExt spid="_x0000_s16622"/>
                </a:ext>
                <a:ext uri="{FF2B5EF4-FFF2-40B4-BE49-F238E27FC236}">
                  <a16:creationId xmlns:a16="http://schemas.microsoft.com/office/drawing/2014/main" id="{00000000-0008-0000-0A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105</xdr:row>
          <xdr:rowOff>9525</xdr:rowOff>
        </xdr:from>
        <xdr:to>
          <xdr:col>5</xdr:col>
          <xdr:colOff>0</xdr:colOff>
          <xdr:row>105</xdr:row>
          <xdr:rowOff>304800</xdr:rowOff>
        </xdr:to>
        <xdr:sp macro="" textlink="">
          <xdr:nvSpPr>
            <xdr:cNvPr id="16623" name="Group Box 239" hidden="1">
              <a:extLst>
                <a:ext uri="{63B3BB69-23CF-44E3-9099-C40C66FF867C}">
                  <a14:compatExt spid="_x0000_s16623"/>
                </a:ext>
                <a:ext uri="{FF2B5EF4-FFF2-40B4-BE49-F238E27FC236}">
                  <a16:creationId xmlns:a16="http://schemas.microsoft.com/office/drawing/2014/main" id="{00000000-0008-0000-0A00-0000EF4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105</xdr:row>
          <xdr:rowOff>38100</xdr:rowOff>
        </xdr:from>
        <xdr:to>
          <xdr:col>3</xdr:col>
          <xdr:colOff>904875</xdr:colOff>
          <xdr:row>105</xdr:row>
          <xdr:rowOff>247650</xdr:rowOff>
        </xdr:to>
        <xdr:sp macro="" textlink="">
          <xdr:nvSpPr>
            <xdr:cNvPr id="16624" name="Option Button 240" hidden="1">
              <a:extLst>
                <a:ext uri="{63B3BB69-23CF-44E3-9099-C40C66FF867C}">
                  <a14:compatExt spid="_x0000_s16624"/>
                </a:ext>
                <a:ext uri="{FF2B5EF4-FFF2-40B4-BE49-F238E27FC236}">
                  <a16:creationId xmlns:a16="http://schemas.microsoft.com/office/drawing/2014/main" id="{00000000-0008-0000-0A00-0000F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105</xdr:row>
          <xdr:rowOff>47625</xdr:rowOff>
        </xdr:from>
        <xdr:to>
          <xdr:col>4</xdr:col>
          <xdr:colOff>704850</xdr:colOff>
          <xdr:row>105</xdr:row>
          <xdr:rowOff>247650</xdr:rowOff>
        </xdr:to>
        <xdr:sp macro="" textlink="">
          <xdr:nvSpPr>
            <xdr:cNvPr id="16625" name="Drop Down 241" hidden="1">
              <a:extLst>
                <a:ext uri="{63B3BB69-23CF-44E3-9099-C40C66FF867C}">
                  <a14:compatExt spid="_x0000_s16625"/>
                </a:ext>
                <a:ext uri="{FF2B5EF4-FFF2-40B4-BE49-F238E27FC236}">
                  <a16:creationId xmlns:a16="http://schemas.microsoft.com/office/drawing/2014/main" id="{00000000-0008-0000-0A00-0000F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105</xdr:row>
          <xdr:rowOff>47625</xdr:rowOff>
        </xdr:from>
        <xdr:to>
          <xdr:col>4</xdr:col>
          <xdr:colOff>942975</xdr:colOff>
          <xdr:row>105</xdr:row>
          <xdr:rowOff>228600</xdr:rowOff>
        </xdr:to>
        <xdr:sp macro="" textlink="">
          <xdr:nvSpPr>
            <xdr:cNvPr id="16626" name="Option Button 242" hidden="1">
              <a:extLst>
                <a:ext uri="{63B3BB69-23CF-44E3-9099-C40C66FF867C}">
                  <a14:compatExt spid="_x0000_s16626"/>
                </a:ext>
                <a:ext uri="{FF2B5EF4-FFF2-40B4-BE49-F238E27FC236}">
                  <a16:creationId xmlns:a16="http://schemas.microsoft.com/office/drawing/2014/main" id="{00000000-0008-0000-0A00-0000F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310.xml"/><Relationship Id="rId13" Type="http://schemas.openxmlformats.org/officeDocument/2006/relationships/ctrlProp" Target="../ctrlProps/ctrlProp315.xml"/><Relationship Id="rId18" Type="http://schemas.openxmlformats.org/officeDocument/2006/relationships/ctrlProp" Target="../ctrlProps/ctrlProp320.xml"/><Relationship Id="rId26" Type="http://schemas.openxmlformats.org/officeDocument/2006/relationships/ctrlProp" Target="../ctrlProps/ctrlProp328.xml"/><Relationship Id="rId3" Type="http://schemas.openxmlformats.org/officeDocument/2006/relationships/vmlDrawing" Target="../drawings/vmlDrawing5.vml"/><Relationship Id="rId21" Type="http://schemas.openxmlformats.org/officeDocument/2006/relationships/ctrlProp" Target="../ctrlProps/ctrlProp323.xml"/><Relationship Id="rId34" Type="http://schemas.openxmlformats.org/officeDocument/2006/relationships/ctrlProp" Target="../ctrlProps/ctrlProp336.xml"/><Relationship Id="rId7" Type="http://schemas.openxmlformats.org/officeDocument/2006/relationships/ctrlProp" Target="../ctrlProps/ctrlProp309.xml"/><Relationship Id="rId12" Type="http://schemas.openxmlformats.org/officeDocument/2006/relationships/ctrlProp" Target="../ctrlProps/ctrlProp314.xml"/><Relationship Id="rId17" Type="http://schemas.openxmlformats.org/officeDocument/2006/relationships/ctrlProp" Target="../ctrlProps/ctrlProp319.xml"/><Relationship Id="rId25" Type="http://schemas.openxmlformats.org/officeDocument/2006/relationships/ctrlProp" Target="../ctrlProps/ctrlProp327.xml"/><Relationship Id="rId33" Type="http://schemas.openxmlformats.org/officeDocument/2006/relationships/ctrlProp" Target="../ctrlProps/ctrlProp335.xml"/><Relationship Id="rId38" Type="http://schemas.openxmlformats.org/officeDocument/2006/relationships/ctrlProp" Target="../ctrlProps/ctrlProp340.xml"/><Relationship Id="rId2" Type="http://schemas.openxmlformats.org/officeDocument/2006/relationships/drawing" Target="../drawings/drawing5.xml"/><Relationship Id="rId16" Type="http://schemas.openxmlformats.org/officeDocument/2006/relationships/ctrlProp" Target="../ctrlProps/ctrlProp318.xml"/><Relationship Id="rId20" Type="http://schemas.openxmlformats.org/officeDocument/2006/relationships/ctrlProp" Target="../ctrlProps/ctrlProp322.xml"/><Relationship Id="rId29" Type="http://schemas.openxmlformats.org/officeDocument/2006/relationships/ctrlProp" Target="../ctrlProps/ctrlProp331.xml"/><Relationship Id="rId1" Type="http://schemas.openxmlformats.org/officeDocument/2006/relationships/printerSettings" Target="../printerSettings/printerSettings9.bin"/><Relationship Id="rId6" Type="http://schemas.openxmlformats.org/officeDocument/2006/relationships/ctrlProp" Target="../ctrlProps/ctrlProp308.xml"/><Relationship Id="rId11" Type="http://schemas.openxmlformats.org/officeDocument/2006/relationships/ctrlProp" Target="../ctrlProps/ctrlProp313.xml"/><Relationship Id="rId24" Type="http://schemas.openxmlformats.org/officeDocument/2006/relationships/ctrlProp" Target="../ctrlProps/ctrlProp326.xml"/><Relationship Id="rId32" Type="http://schemas.openxmlformats.org/officeDocument/2006/relationships/ctrlProp" Target="../ctrlProps/ctrlProp334.xml"/><Relationship Id="rId37" Type="http://schemas.openxmlformats.org/officeDocument/2006/relationships/ctrlProp" Target="../ctrlProps/ctrlProp339.xml"/><Relationship Id="rId5" Type="http://schemas.openxmlformats.org/officeDocument/2006/relationships/ctrlProp" Target="../ctrlProps/ctrlProp307.xml"/><Relationship Id="rId15" Type="http://schemas.openxmlformats.org/officeDocument/2006/relationships/ctrlProp" Target="../ctrlProps/ctrlProp317.xml"/><Relationship Id="rId23" Type="http://schemas.openxmlformats.org/officeDocument/2006/relationships/ctrlProp" Target="../ctrlProps/ctrlProp325.xml"/><Relationship Id="rId28" Type="http://schemas.openxmlformats.org/officeDocument/2006/relationships/ctrlProp" Target="../ctrlProps/ctrlProp330.xml"/><Relationship Id="rId36" Type="http://schemas.openxmlformats.org/officeDocument/2006/relationships/ctrlProp" Target="../ctrlProps/ctrlProp338.xml"/><Relationship Id="rId10" Type="http://schemas.openxmlformats.org/officeDocument/2006/relationships/ctrlProp" Target="../ctrlProps/ctrlProp312.xml"/><Relationship Id="rId19" Type="http://schemas.openxmlformats.org/officeDocument/2006/relationships/ctrlProp" Target="../ctrlProps/ctrlProp321.xml"/><Relationship Id="rId31" Type="http://schemas.openxmlformats.org/officeDocument/2006/relationships/ctrlProp" Target="../ctrlProps/ctrlProp333.xml"/><Relationship Id="rId4" Type="http://schemas.openxmlformats.org/officeDocument/2006/relationships/ctrlProp" Target="../ctrlProps/ctrlProp306.xml"/><Relationship Id="rId9" Type="http://schemas.openxmlformats.org/officeDocument/2006/relationships/ctrlProp" Target="../ctrlProps/ctrlProp311.xml"/><Relationship Id="rId14" Type="http://schemas.openxmlformats.org/officeDocument/2006/relationships/ctrlProp" Target="../ctrlProps/ctrlProp316.xml"/><Relationship Id="rId22" Type="http://schemas.openxmlformats.org/officeDocument/2006/relationships/ctrlProp" Target="../ctrlProps/ctrlProp324.xml"/><Relationship Id="rId27" Type="http://schemas.openxmlformats.org/officeDocument/2006/relationships/ctrlProp" Target="../ctrlProps/ctrlProp329.xml"/><Relationship Id="rId30" Type="http://schemas.openxmlformats.org/officeDocument/2006/relationships/ctrlProp" Target="../ctrlProps/ctrlProp332.xml"/><Relationship Id="rId35" Type="http://schemas.openxmlformats.org/officeDocument/2006/relationships/ctrlProp" Target="../ctrlProps/ctrlProp337.xml"/></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454.xml"/><Relationship Id="rId21" Type="http://schemas.openxmlformats.org/officeDocument/2006/relationships/ctrlProp" Target="../ctrlProps/ctrlProp358.xml"/><Relationship Id="rId42" Type="http://schemas.openxmlformats.org/officeDocument/2006/relationships/ctrlProp" Target="../ctrlProps/ctrlProp379.xml"/><Relationship Id="rId63" Type="http://schemas.openxmlformats.org/officeDocument/2006/relationships/ctrlProp" Target="../ctrlProps/ctrlProp400.xml"/><Relationship Id="rId84" Type="http://schemas.openxmlformats.org/officeDocument/2006/relationships/ctrlProp" Target="../ctrlProps/ctrlProp421.xml"/><Relationship Id="rId138" Type="http://schemas.openxmlformats.org/officeDocument/2006/relationships/ctrlProp" Target="../ctrlProps/ctrlProp475.xml"/><Relationship Id="rId159" Type="http://schemas.openxmlformats.org/officeDocument/2006/relationships/ctrlProp" Target="../ctrlProps/ctrlProp496.xml"/><Relationship Id="rId170" Type="http://schemas.openxmlformats.org/officeDocument/2006/relationships/ctrlProp" Target="../ctrlProps/ctrlProp507.xml"/><Relationship Id="rId191" Type="http://schemas.openxmlformats.org/officeDocument/2006/relationships/ctrlProp" Target="../ctrlProps/ctrlProp528.xml"/><Relationship Id="rId205" Type="http://schemas.openxmlformats.org/officeDocument/2006/relationships/ctrlProp" Target="../ctrlProps/ctrlProp542.xml"/><Relationship Id="rId226" Type="http://schemas.openxmlformats.org/officeDocument/2006/relationships/ctrlProp" Target="../ctrlProps/ctrlProp563.xml"/><Relationship Id="rId107" Type="http://schemas.openxmlformats.org/officeDocument/2006/relationships/ctrlProp" Target="../ctrlProps/ctrlProp444.xml"/><Relationship Id="rId11" Type="http://schemas.openxmlformats.org/officeDocument/2006/relationships/ctrlProp" Target="../ctrlProps/ctrlProp348.xml"/><Relationship Id="rId32" Type="http://schemas.openxmlformats.org/officeDocument/2006/relationships/ctrlProp" Target="../ctrlProps/ctrlProp369.xml"/><Relationship Id="rId53" Type="http://schemas.openxmlformats.org/officeDocument/2006/relationships/ctrlProp" Target="../ctrlProps/ctrlProp390.xml"/><Relationship Id="rId74" Type="http://schemas.openxmlformats.org/officeDocument/2006/relationships/ctrlProp" Target="../ctrlProps/ctrlProp411.xml"/><Relationship Id="rId128" Type="http://schemas.openxmlformats.org/officeDocument/2006/relationships/ctrlProp" Target="../ctrlProps/ctrlProp465.xml"/><Relationship Id="rId149" Type="http://schemas.openxmlformats.org/officeDocument/2006/relationships/ctrlProp" Target="../ctrlProps/ctrlProp486.xml"/><Relationship Id="rId5" Type="http://schemas.openxmlformats.org/officeDocument/2006/relationships/ctrlProp" Target="../ctrlProps/ctrlProp342.xml"/><Relationship Id="rId95" Type="http://schemas.openxmlformats.org/officeDocument/2006/relationships/ctrlProp" Target="../ctrlProps/ctrlProp432.xml"/><Relationship Id="rId160" Type="http://schemas.openxmlformats.org/officeDocument/2006/relationships/ctrlProp" Target="../ctrlProps/ctrlProp497.xml"/><Relationship Id="rId181" Type="http://schemas.openxmlformats.org/officeDocument/2006/relationships/ctrlProp" Target="../ctrlProps/ctrlProp518.xml"/><Relationship Id="rId216" Type="http://schemas.openxmlformats.org/officeDocument/2006/relationships/ctrlProp" Target="../ctrlProps/ctrlProp553.xml"/><Relationship Id="rId237" Type="http://schemas.openxmlformats.org/officeDocument/2006/relationships/ctrlProp" Target="../ctrlProps/ctrlProp574.xml"/><Relationship Id="rId22" Type="http://schemas.openxmlformats.org/officeDocument/2006/relationships/ctrlProp" Target="../ctrlProps/ctrlProp359.xml"/><Relationship Id="rId43" Type="http://schemas.openxmlformats.org/officeDocument/2006/relationships/ctrlProp" Target="../ctrlProps/ctrlProp380.xml"/><Relationship Id="rId64" Type="http://schemas.openxmlformats.org/officeDocument/2006/relationships/ctrlProp" Target="../ctrlProps/ctrlProp401.xml"/><Relationship Id="rId118" Type="http://schemas.openxmlformats.org/officeDocument/2006/relationships/ctrlProp" Target="../ctrlProps/ctrlProp455.xml"/><Relationship Id="rId139" Type="http://schemas.openxmlformats.org/officeDocument/2006/relationships/ctrlProp" Target="../ctrlProps/ctrlProp476.xml"/><Relationship Id="rId85" Type="http://schemas.openxmlformats.org/officeDocument/2006/relationships/ctrlProp" Target="../ctrlProps/ctrlProp422.xml"/><Relationship Id="rId150" Type="http://schemas.openxmlformats.org/officeDocument/2006/relationships/ctrlProp" Target="../ctrlProps/ctrlProp487.xml"/><Relationship Id="rId171" Type="http://schemas.openxmlformats.org/officeDocument/2006/relationships/ctrlProp" Target="../ctrlProps/ctrlProp508.xml"/><Relationship Id="rId192" Type="http://schemas.openxmlformats.org/officeDocument/2006/relationships/ctrlProp" Target="../ctrlProps/ctrlProp529.xml"/><Relationship Id="rId206" Type="http://schemas.openxmlformats.org/officeDocument/2006/relationships/ctrlProp" Target="../ctrlProps/ctrlProp543.xml"/><Relationship Id="rId227" Type="http://schemas.openxmlformats.org/officeDocument/2006/relationships/ctrlProp" Target="../ctrlProps/ctrlProp564.xml"/><Relationship Id="rId201" Type="http://schemas.openxmlformats.org/officeDocument/2006/relationships/ctrlProp" Target="../ctrlProps/ctrlProp538.xml"/><Relationship Id="rId222" Type="http://schemas.openxmlformats.org/officeDocument/2006/relationships/ctrlProp" Target="../ctrlProps/ctrlProp559.xml"/><Relationship Id="rId243" Type="http://schemas.openxmlformats.org/officeDocument/2006/relationships/ctrlProp" Target="../ctrlProps/ctrlProp580.xml"/><Relationship Id="rId12" Type="http://schemas.openxmlformats.org/officeDocument/2006/relationships/ctrlProp" Target="../ctrlProps/ctrlProp349.xml"/><Relationship Id="rId17" Type="http://schemas.openxmlformats.org/officeDocument/2006/relationships/ctrlProp" Target="../ctrlProps/ctrlProp354.xml"/><Relationship Id="rId33" Type="http://schemas.openxmlformats.org/officeDocument/2006/relationships/ctrlProp" Target="../ctrlProps/ctrlProp370.xml"/><Relationship Id="rId38" Type="http://schemas.openxmlformats.org/officeDocument/2006/relationships/ctrlProp" Target="../ctrlProps/ctrlProp375.xml"/><Relationship Id="rId59" Type="http://schemas.openxmlformats.org/officeDocument/2006/relationships/ctrlProp" Target="../ctrlProps/ctrlProp396.xml"/><Relationship Id="rId103" Type="http://schemas.openxmlformats.org/officeDocument/2006/relationships/ctrlProp" Target="../ctrlProps/ctrlProp440.xml"/><Relationship Id="rId108" Type="http://schemas.openxmlformats.org/officeDocument/2006/relationships/ctrlProp" Target="../ctrlProps/ctrlProp445.xml"/><Relationship Id="rId124" Type="http://schemas.openxmlformats.org/officeDocument/2006/relationships/ctrlProp" Target="../ctrlProps/ctrlProp461.xml"/><Relationship Id="rId129" Type="http://schemas.openxmlformats.org/officeDocument/2006/relationships/ctrlProp" Target="../ctrlProps/ctrlProp466.xml"/><Relationship Id="rId54" Type="http://schemas.openxmlformats.org/officeDocument/2006/relationships/ctrlProp" Target="../ctrlProps/ctrlProp391.xml"/><Relationship Id="rId70" Type="http://schemas.openxmlformats.org/officeDocument/2006/relationships/ctrlProp" Target="../ctrlProps/ctrlProp407.xml"/><Relationship Id="rId75" Type="http://schemas.openxmlformats.org/officeDocument/2006/relationships/ctrlProp" Target="../ctrlProps/ctrlProp412.xml"/><Relationship Id="rId91" Type="http://schemas.openxmlformats.org/officeDocument/2006/relationships/ctrlProp" Target="../ctrlProps/ctrlProp428.xml"/><Relationship Id="rId96" Type="http://schemas.openxmlformats.org/officeDocument/2006/relationships/ctrlProp" Target="../ctrlProps/ctrlProp433.xml"/><Relationship Id="rId140" Type="http://schemas.openxmlformats.org/officeDocument/2006/relationships/ctrlProp" Target="../ctrlProps/ctrlProp477.xml"/><Relationship Id="rId145" Type="http://schemas.openxmlformats.org/officeDocument/2006/relationships/ctrlProp" Target="../ctrlProps/ctrlProp482.xml"/><Relationship Id="rId161" Type="http://schemas.openxmlformats.org/officeDocument/2006/relationships/ctrlProp" Target="../ctrlProps/ctrlProp498.xml"/><Relationship Id="rId166" Type="http://schemas.openxmlformats.org/officeDocument/2006/relationships/ctrlProp" Target="../ctrlProps/ctrlProp503.xml"/><Relationship Id="rId182" Type="http://schemas.openxmlformats.org/officeDocument/2006/relationships/ctrlProp" Target="../ctrlProps/ctrlProp519.xml"/><Relationship Id="rId187" Type="http://schemas.openxmlformats.org/officeDocument/2006/relationships/ctrlProp" Target="../ctrlProps/ctrlProp524.xml"/><Relationship Id="rId217" Type="http://schemas.openxmlformats.org/officeDocument/2006/relationships/ctrlProp" Target="../ctrlProps/ctrlProp554.xml"/><Relationship Id="rId1" Type="http://schemas.openxmlformats.org/officeDocument/2006/relationships/printerSettings" Target="../printerSettings/printerSettings10.bin"/><Relationship Id="rId6" Type="http://schemas.openxmlformats.org/officeDocument/2006/relationships/ctrlProp" Target="../ctrlProps/ctrlProp343.xml"/><Relationship Id="rId212" Type="http://schemas.openxmlformats.org/officeDocument/2006/relationships/ctrlProp" Target="../ctrlProps/ctrlProp549.xml"/><Relationship Id="rId233" Type="http://schemas.openxmlformats.org/officeDocument/2006/relationships/ctrlProp" Target="../ctrlProps/ctrlProp570.xml"/><Relationship Id="rId238" Type="http://schemas.openxmlformats.org/officeDocument/2006/relationships/ctrlProp" Target="../ctrlProps/ctrlProp575.xml"/><Relationship Id="rId23" Type="http://schemas.openxmlformats.org/officeDocument/2006/relationships/ctrlProp" Target="../ctrlProps/ctrlProp360.xml"/><Relationship Id="rId28" Type="http://schemas.openxmlformats.org/officeDocument/2006/relationships/ctrlProp" Target="../ctrlProps/ctrlProp365.xml"/><Relationship Id="rId49" Type="http://schemas.openxmlformats.org/officeDocument/2006/relationships/ctrlProp" Target="../ctrlProps/ctrlProp386.xml"/><Relationship Id="rId114" Type="http://schemas.openxmlformats.org/officeDocument/2006/relationships/ctrlProp" Target="../ctrlProps/ctrlProp451.xml"/><Relationship Id="rId119" Type="http://schemas.openxmlformats.org/officeDocument/2006/relationships/ctrlProp" Target="../ctrlProps/ctrlProp456.xml"/><Relationship Id="rId44" Type="http://schemas.openxmlformats.org/officeDocument/2006/relationships/ctrlProp" Target="../ctrlProps/ctrlProp381.xml"/><Relationship Id="rId60" Type="http://schemas.openxmlformats.org/officeDocument/2006/relationships/ctrlProp" Target="../ctrlProps/ctrlProp397.xml"/><Relationship Id="rId65" Type="http://schemas.openxmlformats.org/officeDocument/2006/relationships/ctrlProp" Target="../ctrlProps/ctrlProp402.xml"/><Relationship Id="rId81" Type="http://schemas.openxmlformats.org/officeDocument/2006/relationships/ctrlProp" Target="../ctrlProps/ctrlProp418.xml"/><Relationship Id="rId86" Type="http://schemas.openxmlformats.org/officeDocument/2006/relationships/ctrlProp" Target="../ctrlProps/ctrlProp423.xml"/><Relationship Id="rId130" Type="http://schemas.openxmlformats.org/officeDocument/2006/relationships/ctrlProp" Target="../ctrlProps/ctrlProp467.xml"/><Relationship Id="rId135" Type="http://schemas.openxmlformats.org/officeDocument/2006/relationships/ctrlProp" Target="../ctrlProps/ctrlProp472.xml"/><Relationship Id="rId151" Type="http://schemas.openxmlformats.org/officeDocument/2006/relationships/ctrlProp" Target="../ctrlProps/ctrlProp488.xml"/><Relationship Id="rId156" Type="http://schemas.openxmlformats.org/officeDocument/2006/relationships/ctrlProp" Target="../ctrlProps/ctrlProp493.xml"/><Relationship Id="rId177" Type="http://schemas.openxmlformats.org/officeDocument/2006/relationships/ctrlProp" Target="../ctrlProps/ctrlProp514.xml"/><Relationship Id="rId198" Type="http://schemas.openxmlformats.org/officeDocument/2006/relationships/ctrlProp" Target="../ctrlProps/ctrlProp535.xml"/><Relationship Id="rId172" Type="http://schemas.openxmlformats.org/officeDocument/2006/relationships/ctrlProp" Target="../ctrlProps/ctrlProp509.xml"/><Relationship Id="rId193" Type="http://schemas.openxmlformats.org/officeDocument/2006/relationships/ctrlProp" Target="../ctrlProps/ctrlProp530.xml"/><Relationship Id="rId202" Type="http://schemas.openxmlformats.org/officeDocument/2006/relationships/ctrlProp" Target="../ctrlProps/ctrlProp539.xml"/><Relationship Id="rId207" Type="http://schemas.openxmlformats.org/officeDocument/2006/relationships/ctrlProp" Target="../ctrlProps/ctrlProp544.xml"/><Relationship Id="rId223" Type="http://schemas.openxmlformats.org/officeDocument/2006/relationships/ctrlProp" Target="../ctrlProps/ctrlProp560.xml"/><Relationship Id="rId228" Type="http://schemas.openxmlformats.org/officeDocument/2006/relationships/ctrlProp" Target="../ctrlProps/ctrlProp565.xml"/><Relationship Id="rId244" Type="http://schemas.openxmlformats.org/officeDocument/2006/relationships/ctrlProp" Target="../ctrlProps/ctrlProp581.xml"/><Relationship Id="rId13" Type="http://schemas.openxmlformats.org/officeDocument/2006/relationships/ctrlProp" Target="../ctrlProps/ctrlProp350.xml"/><Relationship Id="rId18" Type="http://schemas.openxmlformats.org/officeDocument/2006/relationships/ctrlProp" Target="../ctrlProps/ctrlProp355.xml"/><Relationship Id="rId39" Type="http://schemas.openxmlformats.org/officeDocument/2006/relationships/ctrlProp" Target="../ctrlProps/ctrlProp376.xml"/><Relationship Id="rId109" Type="http://schemas.openxmlformats.org/officeDocument/2006/relationships/ctrlProp" Target="../ctrlProps/ctrlProp446.xml"/><Relationship Id="rId34" Type="http://schemas.openxmlformats.org/officeDocument/2006/relationships/ctrlProp" Target="../ctrlProps/ctrlProp371.xml"/><Relationship Id="rId50" Type="http://schemas.openxmlformats.org/officeDocument/2006/relationships/ctrlProp" Target="../ctrlProps/ctrlProp387.xml"/><Relationship Id="rId55" Type="http://schemas.openxmlformats.org/officeDocument/2006/relationships/ctrlProp" Target="../ctrlProps/ctrlProp392.xml"/><Relationship Id="rId76" Type="http://schemas.openxmlformats.org/officeDocument/2006/relationships/ctrlProp" Target="../ctrlProps/ctrlProp413.xml"/><Relationship Id="rId97" Type="http://schemas.openxmlformats.org/officeDocument/2006/relationships/ctrlProp" Target="../ctrlProps/ctrlProp434.xml"/><Relationship Id="rId104" Type="http://schemas.openxmlformats.org/officeDocument/2006/relationships/ctrlProp" Target="../ctrlProps/ctrlProp441.xml"/><Relationship Id="rId120" Type="http://schemas.openxmlformats.org/officeDocument/2006/relationships/ctrlProp" Target="../ctrlProps/ctrlProp457.xml"/><Relationship Id="rId125" Type="http://schemas.openxmlformats.org/officeDocument/2006/relationships/ctrlProp" Target="../ctrlProps/ctrlProp462.xml"/><Relationship Id="rId141" Type="http://schemas.openxmlformats.org/officeDocument/2006/relationships/ctrlProp" Target="../ctrlProps/ctrlProp478.xml"/><Relationship Id="rId146" Type="http://schemas.openxmlformats.org/officeDocument/2006/relationships/ctrlProp" Target="../ctrlProps/ctrlProp483.xml"/><Relationship Id="rId167" Type="http://schemas.openxmlformats.org/officeDocument/2006/relationships/ctrlProp" Target="../ctrlProps/ctrlProp504.xml"/><Relationship Id="rId188" Type="http://schemas.openxmlformats.org/officeDocument/2006/relationships/ctrlProp" Target="../ctrlProps/ctrlProp525.xml"/><Relationship Id="rId7" Type="http://schemas.openxmlformats.org/officeDocument/2006/relationships/ctrlProp" Target="../ctrlProps/ctrlProp344.xml"/><Relationship Id="rId71" Type="http://schemas.openxmlformats.org/officeDocument/2006/relationships/ctrlProp" Target="../ctrlProps/ctrlProp408.xml"/><Relationship Id="rId92" Type="http://schemas.openxmlformats.org/officeDocument/2006/relationships/ctrlProp" Target="../ctrlProps/ctrlProp429.xml"/><Relationship Id="rId162" Type="http://schemas.openxmlformats.org/officeDocument/2006/relationships/ctrlProp" Target="../ctrlProps/ctrlProp499.xml"/><Relationship Id="rId183" Type="http://schemas.openxmlformats.org/officeDocument/2006/relationships/ctrlProp" Target="../ctrlProps/ctrlProp520.xml"/><Relationship Id="rId213" Type="http://schemas.openxmlformats.org/officeDocument/2006/relationships/ctrlProp" Target="../ctrlProps/ctrlProp550.xml"/><Relationship Id="rId218" Type="http://schemas.openxmlformats.org/officeDocument/2006/relationships/ctrlProp" Target="../ctrlProps/ctrlProp555.xml"/><Relationship Id="rId234" Type="http://schemas.openxmlformats.org/officeDocument/2006/relationships/ctrlProp" Target="../ctrlProps/ctrlProp571.xml"/><Relationship Id="rId239" Type="http://schemas.openxmlformats.org/officeDocument/2006/relationships/ctrlProp" Target="../ctrlProps/ctrlProp576.xml"/><Relationship Id="rId2" Type="http://schemas.openxmlformats.org/officeDocument/2006/relationships/drawing" Target="../drawings/drawing6.xml"/><Relationship Id="rId29" Type="http://schemas.openxmlformats.org/officeDocument/2006/relationships/ctrlProp" Target="../ctrlProps/ctrlProp366.xml"/><Relationship Id="rId24" Type="http://schemas.openxmlformats.org/officeDocument/2006/relationships/ctrlProp" Target="../ctrlProps/ctrlProp361.xml"/><Relationship Id="rId40" Type="http://schemas.openxmlformats.org/officeDocument/2006/relationships/ctrlProp" Target="../ctrlProps/ctrlProp377.xml"/><Relationship Id="rId45" Type="http://schemas.openxmlformats.org/officeDocument/2006/relationships/ctrlProp" Target="../ctrlProps/ctrlProp382.xml"/><Relationship Id="rId66" Type="http://schemas.openxmlformats.org/officeDocument/2006/relationships/ctrlProp" Target="../ctrlProps/ctrlProp403.xml"/><Relationship Id="rId87" Type="http://schemas.openxmlformats.org/officeDocument/2006/relationships/ctrlProp" Target="../ctrlProps/ctrlProp424.xml"/><Relationship Id="rId110" Type="http://schemas.openxmlformats.org/officeDocument/2006/relationships/ctrlProp" Target="../ctrlProps/ctrlProp447.xml"/><Relationship Id="rId115" Type="http://schemas.openxmlformats.org/officeDocument/2006/relationships/ctrlProp" Target="../ctrlProps/ctrlProp452.xml"/><Relationship Id="rId131" Type="http://schemas.openxmlformats.org/officeDocument/2006/relationships/ctrlProp" Target="../ctrlProps/ctrlProp468.xml"/><Relationship Id="rId136" Type="http://schemas.openxmlformats.org/officeDocument/2006/relationships/ctrlProp" Target="../ctrlProps/ctrlProp473.xml"/><Relationship Id="rId157" Type="http://schemas.openxmlformats.org/officeDocument/2006/relationships/ctrlProp" Target="../ctrlProps/ctrlProp494.xml"/><Relationship Id="rId178" Type="http://schemas.openxmlformats.org/officeDocument/2006/relationships/ctrlProp" Target="../ctrlProps/ctrlProp515.xml"/><Relationship Id="rId61" Type="http://schemas.openxmlformats.org/officeDocument/2006/relationships/ctrlProp" Target="../ctrlProps/ctrlProp398.xml"/><Relationship Id="rId82" Type="http://schemas.openxmlformats.org/officeDocument/2006/relationships/ctrlProp" Target="../ctrlProps/ctrlProp419.xml"/><Relationship Id="rId152" Type="http://schemas.openxmlformats.org/officeDocument/2006/relationships/ctrlProp" Target="../ctrlProps/ctrlProp489.xml"/><Relationship Id="rId173" Type="http://schemas.openxmlformats.org/officeDocument/2006/relationships/ctrlProp" Target="../ctrlProps/ctrlProp510.xml"/><Relationship Id="rId194" Type="http://schemas.openxmlformats.org/officeDocument/2006/relationships/ctrlProp" Target="../ctrlProps/ctrlProp531.xml"/><Relationship Id="rId199" Type="http://schemas.openxmlformats.org/officeDocument/2006/relationships/ctrlProp" Target="../ctrlProps/ctrlProp536.xml"/><Relationship Id="rId203" Type="http://schemas.openxmlformats.org/officeDocument/2006/relationships/ctrlProp" Target="../ctrlProps/ctrlProp540.xml"/><Relationship Id="rId208" Type="http://schemas.openxmlformats.org/officeDocument/2006/relationships/ctrlProp" Target="../ctrlProps/ctrlProp545.xml"/><Relationship Id="rId229" Type="http://schemas.openxmlformats.org/officeDocument/2006/relationships/ctrlProp" Target="../ctrlProps/ctrlProp566.xml"/><Relationship Id="rId19" Type="http://schemas.openxmlformats.org/officeDocument/2006/relationships/ctrlProp" Target="../ctrlProps/ctrlProp356.xml"/><Relationship Id="rId224" Type="http://schemas.openxmlformats.org/officeDocument/2006/relationships/ctrlProp" Target="../ctrlProps/ctrlProp561.xml"/><Relationship Id="rId240" Type="http://schemas.openxmlformats.org/officeDocument/2006/relationships/ctrlProp" Target="../ctrlProps/ctrlProp577.xml"/><Relationship Id="rId245" Type="http://schemas.openxmlformats.org/officeDocument/2006/relationships/ctrlProp" Target="../ctrlProps/ctrlProp582.xml"/><Relationship Id="rId14" Type="http://schemas.openxmlformats.org/officeDocument/2006/relationships/ctrlProp" Target="../ctrlProps/ctrlProp351.xml"/><Relationship Id="rId30" Type="http://schemas.openxmlformats.org/officeDocument/2006/relationships/ctrlProp" Target="../ctrlProps/ctrlProp367.xml"/><Relationship Id="rId35" Type="http://schemas.openxmlformats.org/officeDocument/2006/relationships/ctrlProp" Target="../ctrlProps/ctrlProp372.xml"/><Relationship Id="rId56" Type="http://schemas.openxmlformats.org/officeDocument/2006/relationships/ctrlProp" Target="../ctrlProps/ctrlProp393.xml"/><Relationship Id="rId77" Type="http://schemas.openxmlformats.org/officeDocument/2006/relationships/ctrlProp" Target="../ctrlProps/ctrlProp414.xml"/><Relationship Id="rId100" Type="http://schemas.openxmlformats.org/officeDocument/2006/relationships/ctrlProp" Target="../ctrlProps/ctrlProp437.xml"/><Relationship Id="rId105" Type="http://schemas.openxmlformats.org/officeDocument/2006/relationships/ctrlProp" Target="../ctrlProps/ctrlProp442.xml"/><Relationship Id="rId126" Type="http://schemas.openxmlformats.org/officeDocument/2006/relationships/ctrlProp" Target="../ctrlProps/ctrlProp463.xml"/><Relationship Id="rId147" Type="http://schemas.openxmlformats.org/officeDocument/2006/relationships/ctrlProp" Target="../ctrlProps/ctrlProp484.xml"/><Relationship Id="rId168" Type="http://schemas.openxmlformats.org/officeDocument/2006/relationships/ctrlProp" Target="../ctrlProps/ctrlProp505.xml"/><Relationship Id="rId8" Type="http://schemas.openxmlformats.org/officeDocument/2006/relationships/ctrlProp" Target="../ctrlProps/ctrlProp345.xml"/><Relationship Id="rId51" Type="http://schemas.openxmlformats.org/officeDocument/2006/relationships/ctrlProp" Target="../ctrlProps/ctrlProp388.xml"/><Relationship Id="rId72" Type="http://schemas.openxmlformats.org/officeDocument/2006/relationships/ctrlProp" Target="../ctrlProps/ctrlProp409.xml"/><Relationship Id="rId93" Type="http://schemas.openxmlformats.org/officeDocument/2006/relationships/ctrlProp" Target="../ctrlProps/ctrlProp430.xml"/><Relationship Id="rId98" Type="http://schemas.openxmlformats.org/officeDocument/2006/relationships/ctrlProp" Target="../ctrlProps/ctrlProp435.xml"/><Relationship Id="rId121" Type="http://schemas.openxmlformats.org/officeDocument/2006/relationships/ctrlProp" Target="../ctrlProps/ctrlProp458.xml"/><Relationship Id="rId142" Type="http://schemas.openxmlformats.org/officeDocument/2006/relationships/ctrlProp" Target="../ctrlProps/ctrlProp479.xml"/><Relationship Id="rId163" Type="http://schemas.openxmlformats.org/officeDocument/2006/relationships/ctrlProp" Target="../ctrlProps/ctrlProp500.xml"/><Relationship Id="rId184" Type="http://schemas.openxmlformats.org/officeDocument/2006/relationships/ctrlProp" Target="../ctrlProps/ctrlProp521.xml"/><Relationship Id="rId189" Type="http://schemas.openxmlformats.org/officeDocument/2006/relationships/ctrlProp" Target="../ctrlProps/ctrlProp526.xml"/><Relationship Id="rId219" Type="http://schemas.openxmlformats.org/officeDocument/2006/relationships/ctrlProp" Target="../ctrlProps/ctrlProp556.xml"/><Relationship Id="rId3" Type="http://schemas.openxmlformats.org/officeDocument/2006/relationships/vmlDrawing" Target="../drawings/vmlDrawing6.vml"/><Relationship Id="rId214" Type="http://schemas.openxmlformats.org/officeDocument/2006/relationships/ctrlProp" Target="../ctrlProps/ctrlProp551.xml"/><Relationship Id="rId230" Type="http://schemas.openxmlformats.org/officeDocument/2006/relationships/ctrlProp" Target="../ctrlProps/ctrlProp567.xml"/><Relationship Id="rId235" Type="http://schemas.openxmlformats.org/officeDocument/2006/relationships/ctrlProp" Target="../ctrlProps/ctrlProp572.xml"/><Relationship Id="rId25" Type="http://schemas.openxmlformats.org/officeDocument/2006/relationships/ctrlProp" Target="../ctrlProps/ctrlProp362.xml"/><Relationship Id="rId46" Type="http://schemas.openxmlformats.org/officeDocument/2006/relationships/ctrlProp" Target="../ctrlProps/ctrlProp383.xml"/><Relationship Id="rId67" Type="http://schemas.openxmlformats.org/officeDocument/2006/relationships/ctrlProp" Target="../ctrlProps/ctrlProp404.xml"/><Relationship Id="rId116" Type="http://schemas.openxmlformats.org/officeDocument/2006/relationships/ctrlProp" Target="../ctrlProps/ctrlProp453.xml"/><Relationship Id="rId137" Type="http://schemas.openxmlformats.org/officeDocument/2006/relationships/ctrlProp" Target="../ctrlProps/ctrlProp474.xml"/><Relationship Id="rId158" Type="http://schemas.openxmlformats.org/officeDocument/2006/relationships/ctrlProp" Target="../ctrlProps/ctrlProp495.xml"/><Relationship Id="rId20" Type="http://schemas.openxmlformats.org/officeDocument/2006/relationships/ctrlProp" Target="../ctrlProps/ctrlProp357.xml"/><Relationship Id="rId41" Type="http://schemas.openxmlformats.org/officeDocument/2006/relationships/ctrlProp" Target="../ctrlProps/ctrlProp378.xml"/><Relationship Id="rId62" Type="http://schemas.openxmlformats.org/officeDocument/2006/relationships/ctrlProp" Target="../ctrlProps/ctrlProp399.xml"/><Relationship Id="rId83" Type="http://schemas.openxmlformats.org/officeDocument/2006/relationships/ctrlProp" Target="../ctrlProps/ctrlProp420.xml"/><Relationship Id="rId88" Type="http://schemas.openxmlformats.org/officeDocument/2006/relationships/ctrlProp" Target="../ctrlProps/ctrlProp425.xml"/><Relationship Id="rId111" Type="http://schemas.openxmlformats.org/officeDocument/2006/relationships/ctrlProp" Target="../ctrlProps/ctrlProp448.xml"/><Relationship Id="rId132" Type="http://schemas.openxmlformats.org/officeDocument/2006/relationships/ctrlProp" Target="../ctrlProps/ctrlProp469.xml"/><Relationship Id="rId153" Type="http://schemas.openxmlformats.org/officeDocument/2006/relationships/ctrlProp" Target="../ctrlProps/ctrlProp490.xml"/><Relationship Id="rId174" Type="http://schemas.openxmlformats.org/officeDocument/2006/relationships/ctrlProp" Target="../ctrlProps/ctrlProp511.xml"/><Relationship Id="rId179" Type="http://schemas.openxmlformats.org/officeDocument/2006/relationships/ctrlProp" Target="../ctrlProps/ctrlProp516.xml"/><Relationship Id="rId195" Type="http://schemas.openxmlformats.org/officeDocument/2006/relationships/ctrlProp" Target="../ctrlProps/ctrlProp532.xml"/><Relationship Id="rId209" Type="http://schemas.openxmlformats.org/officeDocument/2006/relationships/ctrlProp" Target="../ctrlProps/ctrlProp546.xml"/><Relationship Id="rId190" Type="http://schemas.openxmlformats.org/officeDocument/2006/relationships/ctrlProp" Target="../ctrlProps/ctrlProp527.xml"/><Relationship Id="rId204" Type="http://schemas.openxmlformats.org/officeDocument/2006/relationships/ctrlProp" Target="../ctrlProps/ctrlProp541.xml"/><Relationship Id="rId220" Type="http://schemas.openxmlformats.org/officeDocument/2006/relationships/ctrlProp" Target="../ctrlProps/ctrlProp557.xml"/><Relationship Id="rId225" Type="http://schemas.openxmlformats.org/officeDocument/2006/relationships/ctrlProp" Target="../ctrlProps/ctrlProp562.xml"/><Relationship Id="rId241" Type="http://schemas.openxmlformats.org/officeDocument/2006/relationships/ctrlProp" Target="../ctrlProps/ctrlProp578.xml"/><Relationship Id="rId15" Type="http://schemas.openxmlformats.org/officeDocument/2006/relationships/ctrlProp" Target="../ctrlProps/ctrlProp352.xml"/><Relationship Id="rId36" Type="http://schemas.openxmlformats.org/officeDocument/2006/relationships/ctrlProp" Target="../ctrlProps/ctrlProp373.xml"/><Relationship Id="rId57" Type="http://schemas.openxmlformats.org/officeDocument/2006/relationships/ctrlProp" Target="../ctrlProps/ctrlProp394.xml"/><Relationship Id="rId106" Type="http://schemas.openxmlformats.org/officeDocument/2006/relationships/ctrlProp" Target="../ctrlProps/ctrlProp443.xml"/><Relationship Id="rId127" Type="http://schemas.openxmlformats.org/officeDocument/2006/relationships/ctrlProp" Target="../ctrlProps/ctrlProp464.xml"/><Relationship Id="rId10" Type="http://schemas.openxmlformats.org/officeDocument/2006/relationships/ctrlProp" Target="../ctrlProps/ctrlProp347.xml"/><Relationship Id="rId31" Type="http://schemas.openxmlformats.org/officeDocument/2006/relationships/ctrlProp" Target="../ctrlProps/ctrlProp368.xml"/><Relationship Id="rId52" Type="http://schemas.openxmlformats.org/officeDocument/2006/relationships/ctrlProp" Target="../ctrlProps/ctrlProp389.xml"/><Relationship Id="rId73" Type="http://schemas.openxmlformats.org/officeDocument/2006/relationships/ctrlProp" Target="../ctrlProps/ctrlProp410.xml"/><Relationship Id="rId78" Type="http://schemas.openxmlformats.org/officeDocument/2006/relationships/ctrlProp" Target="../ctrlProps/ctrlProp415.xml"/><Relationship Id="rId94" Type="http://schemas.openxmlformats.org/officeDocument/2006/relationships/ctrlProp" Target="../ctrlProps/ctrlProp431.xml"/><Relationship Id="rId99" Type="http://schemas.openxmlformats.org/officeDocument/2006/relationships/ctrlProp" Target="../ctrlProps/ctrlProp436.xml"/><Relationship Id="rId101" Type="http://schemas.openxmlformats.org/officeDocument/2006/relationships/ctrlProp" Target="../ctrlProps/ctrlProp438.xml"/><Relationship Id="rId122" Type="http://schemas.openxmlformats.org/officeDocument/2006/relationships/ctrlProp" Target="../ctrlProps/ctrlProp459.xml"/><Relationship Id="rId143" Type="http://schemas.openxmlformats.org/officeDocument/2006/relationships/ctrlProp" Target="../ctrlProps/ctrlProp480.xml"/><Relationship Id="rId148" Type="http://schemas.openxmlformats.org/officeDocument/2006/relationships/ctrlProp" Target="../ctrlProps/ctrlProp485.xml"/><Relationship Id="rId164" Type="http://schemas.openxmlformats.org/officeDocument/2006/relationships/ctrlProp" Target="../ctrlProps/ctrlProp501.xml"/><Relationship Id="rId169" Type="http://schemas.openxmlformats.org/officeDocument/2006/relationships/ctrlProp" Target="../ctrlProps/ctrlProp506.xml"/><Relationship Id="rId185" Type="http://schemas.openxmlformats.org/officeDocument/2006/relationships/ctrlProp" Target="../ctrlProps/ctrlProp522.xml"/><Relationship Id="rId4" Type="http://schemas.openxmlformats.org/officeDocument/2006/relationships/ctrlProp" Target="../ctrlProps/ctrlProp341.xml"/><Relationship Id="rId9" Type="http://schemas.openxmlformats.org/officeDocument/2006/relationships/ctrlProp" Target="../ctrlProps/ctrlProp346.xml"/><Relationship Id="rId180" Type="http://schemas.openxmlformats.org/officeDocument/2006/relationships/ctrlProp" Target="../ctrlProps/ctrlProp517.xml"/><Relationship Id="rId210" Type="http://schemas.openxmlformats.org/officeDocument/2006/relationships/ctrlProp" Target="../ctrlProps/ctrlProp547.xml"/><Relationship Id="rId215" Type="http://schemas.openxmlformats.org/officeDocument/2006/relationships/ctrlProp" Target="../ctrlProps/ctrlProp552.xml"/><Relationship Id="rId236" Type="http://schemas.openxmlformats.org/officeDocument/2006/relationships/ctrlProp" Target="../ctrlProps/ctrlProp573.xml"/><Relationship Id="rId26" Type="http://schemas.openxmlformats.org/officeDocument/2006/relationships/ctrlProp" Target="../ctrlProps/ctrlProp363.xml"/><Relationship Id="rId231" Type="http://schemas.openxmlformats.org/officeDocument/2006/relationships/ctrlProp" Target="../ctrlProps/ctrlProp568.xml"/><Relationship Id="rId47" Type="http://schemas.openxmlformats.org/officeDocument/2006/relationships/ctrlProp" Target="../ctrlProps/ctrlProp384.xml"/><Relationship Id="rId68" Type="http://schemas.openxmlformats.org/officeDocument/2006/relationships/ctrlProp" Target="../ctrlProps/ctrlProp405.xml"/><Relationship Id="rId89" Type="http://schemas.openxmlformats.org/officeDocument/2006/relationships/ctrlProp" Target="../ctrlProps/ctrlProp426.xml"/><Relationship Id="rId112" Type="http://schemas.openxmlformats.org/officeDocument/2006/relationships/ctrlProp" Target="../ctrlProps/ctrlProp449.xml"/><Relationship Id="rId133" Type="http://schemas.openxmlformats.org/officeDocument/2006/relationships/ctrlProp" Target="../ctrlProps/ctrlProp470.xml"/><Relationship Id="rId154" Type="http://schemas.openxmlformats.org/officeDocument/2006/relationships/ctrlProp" Target="../ctrlProps/ctrlProp491.xml"/><Relationship Id="rId175" Type="http://schemas.openxmlformats.org/officeDocument/2006/relationships/ctrlProp" Target="../ctrlProps/ctrlProp512.xml"/><Relationship Id="rId196" Type="http://schemas.openxmlformats.org/officeDocument/2006/relationships/ctrlProp" Target="../ctrlProps/ctrlProp533.xml"/><Relationship Id="rId200" Type="http://schemas.openxmlformats.org/officeDocument/2006/relationships/ctrlProp" Target="../ctrlProps/ctrlProp537.xml"/><Relationship Id="rId16" Type="http://schemas.openxmlformats.org/officeDocument/2006/relationships/ctrlProp" Target="../ctrlProps/ctrlProp353.xml"/><Relationship Id="rId221" Type="http://schemas.openxmlformats.org/officeDocument/2006/relationships/ctrlProp" Target="../ctrlProps/ctrlProp558.xml"/><Relationship Id="rId242" Type="http://schemas.openxmlformats.org/officeDocument/2006/relationships/ctrlProp" Target="../ctrlProps/ctrlProp579.xml"/><Relationship Id="rId37" Type="http://schemas.openxmlformats.org/officeDocument/2006/relationships/ctrlProp" Target="../ctrlProps/ctrlProp374.xml"/><Relationship Id="rId58" Type="http://schemas.openxmlformats.org/officeDocument/2006/relationships/ctrlProp" Target="../ctrlProps/ctrlProp395.xml"/><Relationship Id="rId79" Type="http://schemas.openxmlformats.org/officeDocument/2006/relationships/ctrlProp" Target="../ctrlProps/ctrlProp416.xml"/><Relationship Id="rId102" Type="http://schemas.openxmlformats.org/officeDocument/2006/relationships/ctrlProp" Target="../ctrlProps/ctrlProp439.xml"/><Relationship Id="rId123" Type="http://schemas.openxmlformats.org/officeDocument/2006/relationships/ctrlProp" Target="../ctrlProps/ctrlProp460.xml"/><Relationship Id="rId144" Type="http://schemas.openxmlformats.org/officeDocument/2006/relationships/ctrlProp" Target="../ctrlProps/ctrlProp481.xml"/><Relationship Id="rId90" Type="http://schemas.openxmlformats.org/officeDocument/2006/relationships/ctrlProp" Target="../ctrlProps/ctrlProp427.xml"/><Relationship Id="rId165" Type="http://schemas.openxmlformats.org/officeDocument/2006/relationships/ctrlProp" Target="../ctrlProps/ctrlProp502.xml"/><Relationship Id="rId186" Type="http://schemas.openxmlformats.org/officeDocument/2006/relationships/ctrlProp" Target="../ctrlProps/ctrlProp523.xml"/><Relationship Id="rId211" Type="http://schemas.openxmlformats.org/officeDocument/2006/relationships/ctrlProp" Target="../ctrlProps/ctrlProp548.xml"/><Relationship Id="rId232" Type="http://schemas.openxmlformats.org/officeDocument/2006/relationships/ctrlProp" Target="../ctrlProps/ctrlProp569.xml"/><Relationship Id="rId27" Type="http://schemas.openxmlformats.org/officeDocument/2006/relationships/ctrlProp" Target="../ctrlProps/ctrlProp364.xml"/><Relationship Id="rId48" Type="http://schemas.openxmlformats.org/officeDocument/2006/relationships/ctrlProp" Target="../ctrlProps/ctrlProp385.xml"/><Relationship Id="rId69" Type="http://schemas.openxmlformats.org/officeDocument/2006/relationships/ctrlProp" Target="../ctrlProps/ctrlProp406.xml"/><Relationship Id="rId113" Type="http://schemas.openxmlformats.org/officeDocument/2006/relationships/ctrlProp" Target="../ctrlProps/ctrlProp450.xml"/><Relationship Id="rId134" Type="http://schemas.openxmlformats.org/officeDocument/2006/relationships/ctrlProp" Target="../ctrlProps/ctrlProp471.xml"/><Relationship Id="rId80" Type="http://schemas.openxmlformats.org/officeDocument/2006/relationships/ctrlProp" Target="../ctrlProps/ctrlProp417.xml"/><Relationship Id="rId155" Type="http://schemas.openxmlformats.org/officeDocument/2006/relationships/ctrlProp" Target="../ctrlProps/ctrlProp492.xml"/><Relationship Id="rId176" Type="http://schemas.openxmlformats.org/officeDocument/2006/relationships/ctrlProp" Target="../ctrlProps/ctrlProp513.xml"/><Relationship Id="rId197" Type="http://schemas.openxmlformats.org/officeDocument/2006/relationships/ctrlProp" Target="../ctrlProps/ctrlProp53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3.xml"/><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84" Type="http://schemas.openxmlformats.org/officeDocument/2006/relationships/ctrlProp" Target="../ctrlProps/ctrlProp111.xml"/><Relationship Id="rId89" Type="http://schemas.openxmlformats.org/officeDocument/2006/relationships/ctrlProp" Target="../ctrlProps/ctrlProp116.xml"/><Relationship Id="rId112" Type="http://schemas.openxmlformats.org/officeDocument/2006/relationships/ctrlProp" Target="../ctrlProps/ctrlProp139.xml"/><Relationship Id="rId16" Type="http://schemas.openxmlformats.org/officeDocument/2006/relationships/ctrlProp" Target="../ctrlProps/ctrlProp43.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5" Type="http://schemas.openxmlformats.org/officeDocument/2006/relationships/ctrlProp" Target="../ctrlProps/ctrlProp32.xml"/><Relationship Id="rId61" Type="http://schemas.openxmlformats.org/officeDocument/2006/relationships/ctrlProp" Target="../ctrlProps/ctrlProp88.xml"/><Relationship Id="rId82" Type="http://schemas.openxmlformats.org/officeDocument/2006/relationships/ctrlProp" Target="../ctrlProps/ctrlProp109.xml"/><Relationship Id="rId90" Type="http://schemas.openxmlformats.org/officeDocument/2006/relationships/ctrlProp" Target="../ctrlProps/ctrlProp117.xml"/><Relationship Id="rId95" Type="http://schemas.openxmlformats.org/officeDocument/2006/relationships/ctrlProp" Target="../ctrlProps/ctrlProp122.xml"/><Relationship Id="rId19" Type="http://schemas.openxmlformats.org/officeDocument/2006/relationships/ctrlProp" Target="../ctrlProps/ctrlProp4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56" Type="http://schemas.openxmlformats.org/officeDocument/2006/relationships/ctrlProp" Target="../ctrlProps/ctrlProp83.xml"/><Relationship Id="rId64" Type="http://schemas.openxmlformats.org/officeDocument/2006/relationships/ctrlProp" Target="../ctrlProps/ctrlProp91.xml"/><Relationship Id="rId69" Type="http://schemas.openxmlformats.org/officeDocument/2006/relationships/ctrlProp" Target="../ctrlProps/ctrlProp96.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13" Type="http://schemas.openxmlformats.org/officeDocument/2006/relationships/ctrlProp" Target="../ctrlProps/ctrlProp140.xml"/><Relationship Id="rId118" Type="http://schemas.openxmlformats.org/officeDocument/2006/relationships/ctrlProp" Target="../ctrlProps/ctrlProp145.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80" Type="http://schemas.openxmlformats.org/officeDocument/2006/relationships/ctrlProp" Target="../ctrlProps/ctrlProp107.xml"/><Relationship Id="rId85" Type="http://schemas.openxmlformats.org/officeDocument/2006/relationships/ctrlProp" Target="../ctrlProps/ctrlProp112.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3" Type="http://schemas.openxmlformats.org/officeDocument/2006/relationships/vmlDrawing" Target="../drawings/vmlDrawing2.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59" Type="http://schemas.openxmlformats.org/officeDocument/2006/relationships/ctrlProp" Target="../ctrlProps/ctrlProp86.xml"/><Relationship Id="rId67" Type="http://schemas.openxmlformats.org/officeDocument/2006/relationships/ctrlProp" Target="../ctrlProps/ctrlProp94.xml"/><Relationship Id="rId103" Type="http://schemas.openxmlformats.org/officeDocument/2006/relationships/ctrlProp" Target="../ctrlProps/ctrlProp130.xml"/><Relationship Id="rId108" Type="http://schemas.openxmlformats.org/officeDocument/2006/relationships/ctrlProp" Target="../ctrlProps/ctrlProp135.xml"/><Relationship Id="rId116" Type="http://schemas.openxmlformats.org/officeDocument/2006/relationships/ctrlProp" Target="../ctrlProps/ctrlProp143.xml"/><Relationship Id="rId124" Type="http://schemas.openxmlformats.org/officeDocument/2006/relationships/ctrlProp" Target="../ctrlProps/ctrlProp151.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trlProp" Target="../ctrlProps/ctrlProp81.xml"/><Relationship Id="rId62" Type="http://schemas.openxmlformats.org/officeDocument/2006/relationships/ctrlProp" Target="../ctrlProps/ctrlProp89.xml"/><Relationship Id="rId70" Type="http://schemas.openxmlformats.org/officeDocument/2006/relationships/ctrlProp" Target="../ctrlProps/ctrlProp97.xml"/><Relationship Id="rId75" Type="http://schemas.openxmlformats.org/officeDocument/2006/relationships/ctrlProp" Target="../ctrlProps/ctrlProp102.xml"/><Relationship Id="rId83" Type="http://schemas.openxmlformats.org/officeDocument/2006/relationships/ctrlProp" Target="../ctrlProps/ctrlProp110.xml"/><Relationship Id="rId88" Type="http://schemas.openxmlformats.org/officeDocument/2006/relationships/ctrlProp" Target="../ctrlProps/ctrlProp115.xml"/><Relationship Id="rId91" Type="http://schemas.openxmlformats.org/officeDocument/2006/relationships/ctrlProp" Target="../ctrlProps/ctrlProp118.xml"/><Relationship Id="rId96" Type="http://schemas.openxmlformats.org/officeDocument/2006/relationships/ctrlProp" Target="../ctrlProps/ctrlProp123.xml"/><Relationship Id="rId111" Type="http://schemas.openxmlformats.org/officeDocument/2006/relationships/ctrlProp" Target="../ctrlProps/ctrlProp138.xml"/><Relationship Id="rId1" Type="http://schemas.openxmlformats.org/officeDocument/2006/relationships/printerSettings" Target="../printerSettings/printerSettings3.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6" Type="http://schemas.openxmlformats.org/officeDocument/2006/relationships/ctrlProp" Target="../ctrlProps/ctrlProp133.xml"/><Relationship Id="rId114" Type="http://schemas.openxmlformats.org/officeDocument/2006/relationships/ctrlProp" Target="../ctrlProps/ctrlProp141.xml"/><Relationship Id="rId119" Type="http://schemas.openxmlformats.org/officeDocument/2006/relationships/ctrlProp" Target="../ctrlProps/ctrlProp146.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86" Type="http://schemas.openxmlformats.org/officeDocument/2006/relationships/ctrlProp" Target="../ctrlProps/ctrlProp113.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2" Type="http://schemas.openxmlformats.org/officeDocument/2006/relationships/drawing" Target="../drawings/drawing2.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 Type="http://schemas.openxmlformats.org/officeDocument/2006/relationships/vmlDrawing" Target="../drawings/vmlDrawing3.vml"/><Relationship Id="rId21" Type="http://schemas.openxmlformats.org/officeDocument/2006/relationships/ctrlProp" Target="../ctrlProps/ctrlProp169.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2" Type="http://schemas.openxmlformats.org/officeDocument/2006/relationships/drawing" Target="../drawings/drawing3.xml"/><Relationship Id="rId16" Type="http://schemas.openxmlformats.org/officeDocument/2006/relationships/ctrlProp" Target="../ctrlProps/ctrlProp164.xml"/><Relationship Id="rId20" Type="http://schemas.openxmlformats.org/officeDocument/2006/relationships/ctrlProp" Target="../ctrlProps/ctrlProp168.xml"/><Relationship Id="rId29" Type="http://schemas.openxmlformats.org/officeDocument/2006/relationships/ctrlProp" Target="../ctrlProps/ctrlProp177.xml"/><Relationship Id="rId1" Type="http://schemas.openxmlformats.org/officeDocument/2006/relationships/printerSettings" Target="../printerSettings/printerSettings5.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28" Type="http://schemas.openxmlformats.org/officeDocument/2006/relationships/ctrlProp" Target="../ctrlProps/ctrlProp176.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 Id="rId30" Type="http://schemas.openxmlformats.org/officeDocument/2006/relationships/ctrlProp" Target="../ctrlProps/ctrlProp178.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01.xml"/><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112" Type="http://schemas.openxmlformats.org/officeDocument/2006/relationships/ctrlProp" Target="../ctrlProps/ctrlProp287.xml"/><Relationship Id="rId16" Type="http://schemas.openxmlformats.org/officeDocument/2006/relationships/ctrlProp" Target="../ctrlProps/ctrlProp191.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37" Type="http://schemas.openxmlformats.org/officeDocument/2006/relationships/ctrlProp" Target="../ctrlProps/ctrlProp212.xml"/><Relationship Id="rId53" Type="http://schemas.openxmlformats.org/officeDocument/2006/relationships/ctrlProp" Target="../ctrlProps/ctrlProp228.xml"/><Relationship Id="rId58" Type="http://schemas.openxmlformats.org/officeDocument/2006/relationships/ctrlProp" Target="../ctrlProps/ctrlProp233.xml"/><Relationship Id="rId74" Type="http://schemas.openxmlformats.org/officeDocument/2006/relationships/ctrlProp" Target="../ctrlProps/ctrlProp249.xml"/><Relationship Id="rId79" Type="http://schemas.openxmlformats.org/officeDocument/2006/relationships/ctrlProp" Target="../ctrlProps/ctrlProp254.xml"/><Relationship Id="rId102" Type="http://schemas.openxmlformats.org/officeDocument/2006/relationships/ctrlProp" Target="../ctrlProps/ctrlProp277.xml"/><Relationship Id="rId123" Type="http://schemas.openxmlformats.org/officeDocument/2006/relationships/ctrlProp" Target="../ctrlProps/ctrlProp298.xml"/><Relationship Id="rId128" Type="http://schemas.openxmlformats.org/officeDocument/2006/relationships/ctrlProp" Target="../ctrlProps/ctrlProp303.xml"/><Relationship Id="rId5" Type="http://schemas.openxmlformats.org/officeDocument/2006/relationships/ctrlProp" Target="../ctrlProps/ctrlProp180.xml"/><Relationship Id="rId90" Type="http://schemas.openxmlformats.org/officeDocument/2006/relationships/ctrlProp" Target="../ctrlProps/ctrlProp265.xml"/><Relationship Id="rId95" Type="http://schemas.openxmlformats.org/officeDocument/2006/relationships/ctrlProp" Target="../ctrlProps/ctrlProp270.xml"/><Relationship Id="rId19" Type="http://schemas.openxmlformats.org/officeDocument/2006/relationships/ctrlProp" Target="../ctrlProps/ctrlProp19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69" Type="http://schemas.openxmlformats.org/officeDocument/2006/relationships/ctrlProp" Target="../ctrlProps/ctrlProp244.xml"/><Relationship Id="rId77" Type="http://schemas.openxmlformats.org/officeDocument/2006/relationships/ctrlProp" Target="../ctrlProps/ctrlProp252.xml"/><Relationship Id="rId100" Type="http://schemas.openxmlformats.org/officeDocument/2006/relationships/ctrlProp" Target="../ctrlProps/ctrlProp275.xml"/><Relationship Id="rId105" Type="http://schemas.openxmlformats.org/officeDocument/2006/relationships/ctrlProp" Target="../ctrlProps/ctrlProp280.xml"/><Relationship Id="rId113" Type="http://schemas.openxmlformats.org/officeDocument/2006/relationships/ctrlProp" Target="../ctrlProps/ctrlProp288.xml"/><Relationship Id="rId118" Type="http://schemas.openxmlformats.org/officeDocument/2006/relationships/ctrlProp" Target="../ctrlProps/ctrlProp293.xml"/><Relationship Id="rId126" Type="http://schemas.openxmlformats.org/officeDocument/2006/relationships/ctrlProp" Target="../ctrlProps/ctrlProp301.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80" Type="http://schemas.openxmlformats.org/officeDocument/2006/relationships/ctrlProp" Target="../ctrlProps/ctrlProp255.xml"/><Relationship Id="rId85" Type="http://schemas.openxmlformats.org/officeDocument/2006/relationships/ctrlProp" Target="../ctrlProps/ctrlProp260.xml"/><Relationship Id="rId93" Type="http://schemas.openxmlformats.org/officeDocument/2006/relationships/ctrlProp" Target="../ctrlProps/ctrlProp268.xml"/><Relationship Id="rId98" Type="http://schemas.openxmlformats.org/officeDocument/2006/relationships/ctrlProp" Target="../ctrlProps/ctrlProp273.xml"/><Relationship Id="rId121" Type="http://schemas.openxmlformats.org/officeDocument/2006/relationships/ctrlProp" Target="../ctrlProps/ctrlProp296.xml"/><Relationship Id="rId3" Type="http://schemas.openxmlformats.org/officeDocument/2006/relationships/vmlDrawing" Target="../drawings/vmlDrawing4.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103" Type="http://schemas.openxmlformats.org/officeDocument/2006/relationships/ctrlProp" Target="../ctrlProps/ctrlProp278.xml"/><Relationship Id="rId108" Type="http://schemas.openxmlformats.org/officeDocument/2006/relationships/ctrlProp" Target="../ctrlProps/ctrlProp283.xml"/><Relationship Id="rId116" Type="http://schemas.openxmlformats.org/officeDocument/2006/relationships/ctrlProp" Target="../ctrlProps/ctrlProp291.xml"/><Relationship Id="rId124" Type="http://schemas.openxmlformats.org/officeDocument/2006/relationships/ctrlProp" Target="../ctrlProps/ctrlProp299.xml"/><Relationship Id="rId129" Type="http://schemas.openxmlformats.org/officeDocument/2006/relationships/ctrlProp" Target="../ctrlProps/ctrlProp304.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83" Type="http://schemas.openxmlformats.org/officeDocument/2006/relationships/ctrlProp" Target="../ctrlProps/ctrlProp258.xml"/><Relationship Id="rId88" Type="http://schemas.openxmlformats.org/officeDocument/2006/relationships/ctrlProp" Target="../ctrlProps/ctrlProp263.xml"/><Relationship Id="rId91" Type="http://schemas.openxmlformats.org/officeDocument/2006/relationships/ctrlProp" Target="../ctrlProps/ctrlProp266.xml"/><Relationship Id="rId96" Type="http://schemas.openxmlformats.org/officeDocument/2006/relationships/ctrlProp" Target="../ctrlProps/ctrlProp271.xml"/><Relationship Id="rId111" Type="http://schemas.openxmlformats.org/officeDocument/2006/relationships/ctrlProp" Target="../ctrlProps/ctrlProp286.xml"/><Relationship Id="rId1" Type="http://schemas.openxmlformats.org/officeDocument/2006/relationships/printerSettings" Target="../printerSettings/printerSettings6.bin"/><Relationship Id="rId6" Type="http://schemas.openxmlformats.org/officeDocument/2006/relationships/ctrlProp" Target="../ctrlProps/ctrlProp181.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106" Type="http://schemas.openxmlformats.org/officeDocument/2006/relationships/ctrlProp" Target="../ctrlProps/ctrlProp281.xml"/><Relationship Id="rId114" Type="http://schemas.openxmlformats.org/officeDocument/2006/relationships/ctrlProp" Target="../ctrlProps/ctrlProp289.xml"/><Relationship Id="rId119" Type="http://schemas.openxmlformats.org/officeDocument/2006/relationships/ctrlProp" Target="../ctrlProps/ctrlProp294.xml"/><Relationship Id="rId127" Type="http://schemas.openxmlformats.org/officeDocument/2006/relationships/ctrlProp" Target="../ctrlProps/ctrlProp302.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122" Type="http://schemas.openxmlformats.org/officeDocument/2006/relationships/ctrlProp" Target="../ctrlProps/ctrlProp297.xml"/><Relationship Id="rId130" Type="http://schemas.openxmlformats.org/officeDocument/2006/relationships/ctrlProp" Target="../ctrlProps/ctrlProp305.xml"/><Relationship Id="rId4" Type="http://schemas.openxmlformats.org/officeDocument/2006/relationships/ctrlProp" Target="../ctrlProps/ctrlProp179.xml"/><Relationship Id="rId9" Type="http://schemas.openxmlformats.org/officeDocument/2006/relationships/ctrlProp" Target="../ctrlProps/ctrlProp184.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109" Type="http://schemas.openxmlformats.org/officeDocument/2006/relationships/ctrlProp" Target="../ctrlProps/ctrlProp28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120" Type="http://schemas.openxmlformats.org/officeDocument/2006/relationships/ctrlProp" Target="../ctrlProps/ctrlProp295.xml"/><Relationship Id="rId125" Type="http://schemas.openxmlformats.org/officeDocument/2006/relationships/ctrlProp" Target="../ctrlProps/ctrlProp300.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2" Type="http://schemas.openxmlformats.org/officeDocument/2006/relationships/drawing" Target="../drawings/drawing4.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15" Type="http://schemas.openxmlformats.org/officeDocument/2006/relationships/ctrlProp" Target="../ctrlProps/ctrlProp290.xml"/><Relationship Id="rId61" Type="http://schemas.openxmlformats.org/officeDocument/2006/relationships/ctrlProp" Target="../ctrlProps/ctrlProp236.xml"/><Relationship Id="rId82" Type="http://schemas.openxmlformats.org/officeDocument/2006/relationships/ctrlProp" Target="../ctrlProps/ctrlProp25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B2:K33"/>
  <sheetViews>
    <sheetView showGridLines="0" workbookViewId="0"/>
  </sheetViews>
  <sheetFormatPr defaultRowHeight="15" x14ac:dyDescent="0.25"/>
  <cols>
    <col min="2" max="2" width="20.7109375" customWidth="1"/>
    <col min="3" max="3" width="22.85546875" customWidth="1"/>
    <col min="4" max="4" width="59.42578125" customWidth="1"/>
  </cols>
  <sheetData>
    <row r="2" spans="2:11" ht="14.45" customHeight="1" x14ac:dyDescent="0.35">
      <c r="B2" s="559" t="s">
        <v>754</v>
      </c>
      <c r="C2" s="559"/>
      <c r="D2" s="559"/>
      <c r="E2" s="354"/>
      <c r="F2" s="354"/>
      <c r="G2" s="354"/>
      <c r="H2" s="354"/>
      <c r="I2" s="354"/>
      <c r="J2" s="354"/>
      <c r="K2" s="354"/>
    </row>
    <row r="3" spans="2:11" ht="14.45" customHeight="1" x14ac:dyDescent="0.35">
      <c r="B3" s="559"/>
      <c r="C3" s="559"/>
      <c r="D3" s="559"/>
      <c r="E3" s="354"/>
      <c r="F3" s="354"/>
      <c r="G3" s="354"/>
      <c r="H3" s="354"/>
      <c r="I3" s="354"/>
      <c r="J3" s="354"/>
      <c r="K3" s="354"/>
    </row>
    <row r="4" spans="2:11" ht="14.45" customHeight="1" x14ac:dyDescent="0.35">
      <c r="B4" s="559"/>
      <c r="C4" s="559"/>
      <c r="D4" s="559"/>
      <c r="E4" s="354"/>
      <c r="F4" s="354"/>
      <c r="G4" s="354"/>
      <c r="H4" s="354"/>
      <c r="I4" s="354"/>
      <c r="J4" s="354"/>
      <c r="K4" s="354"/>
    </row>
    <row r="5" spans="2:11" ht="14.45" customHeight="1" x14ac:dyDescent="0.35">
      <c r="B5" s="559"/>
      <c r="C5" s="559"/>
      <c r="D5" s="559"/>
      <c r="E5" s="354"/>
      <c r="F5" s="354"/>
      <c r="G5" s="354"/>
      <c r="H5" s="354"/>
      <c r="I5" s="354"/>
      <c r="J5" s="354"/>
      <c r="K5" s="354"/>
    </row>
    <row r="6" spans="2:11" ht="14.45" customHeight="1" x14ac:dyDescent="0.35">
      <c r="B6" s="556"/>
      <c r="C6" s="556"/>
      <c r="D6" s="556"/>
      <c r="E6" s="354"/>
      <c r="F6" s="354"/>
      <c r="G6" s="354"/>
      <c r="H6" s="354"/>
      <c r="I6" s="354"/>
      <c r="J6" s="354"/>
      <c r="K6" s="354"/>
    </row>
    <row r="7" spans="2:11" ht="24.75" customHeight="1" x14ac:dyDescent="0.35">
      <c r="B7" s="564" t="s">
        <v>757</v>
      </c>
      <c r="C7" s="564"/>
      <c r="D7" s="564"/>
      <c r="E7" s="354"/>
      <c r="F7" s="354"/>
      <c r="G7" s="354"/>
      <c r="H7" s="354"/>
      <c r="I7" s="354"/>
      <c r="J7" s="354"/>
      <c r="K7" s="354"/>
    </row>
    <row r="9" spans="2:11" x14ac:dyDescent="0.25">
      <c r="B9" s="356" t="s">
        <v>358</v>
      </c>
      <c r="C9" s="357" t="s">
        <v>360</v>
      </c>
      <c r="D9" s="357" t="s">
        <v>362</v>
      </c>
    </row>
    <row r="10" spans="2:11" x14ac:dyDescent="0.25">
      <c r="B10" s="560" t="s">
        <v>359</v>
      </c>
      <c r="C10" s="1" t="s">
        <v>361</v>
      </c>
      <c r="D10" s="1" t="s">
        <v>372</v>
      </c>
    </row>
    <row r="11" spans="2:11" x14ac:dyDescent="0.25">
      <c r="B11" s="561"/>
      <c r="C11" s="1" t="s">
        <v>363</v>
      </c>
      <c r="D11" s="1" t="s">
        <v>369</v>
      </c>
    </row>
    <row r="12" spans="2:11" ht="15.75" thickBot="1" x14ac:dyDescent="0.3">
      <c r="B12" s="562"/>
      <c r="C12" s="359" t="s">
        <v>364</v>
      </c>
      <c r="D12" s="359" t="s">
        <v>370</v>
      </c>
    </row>
    <row r="13" spans="2:11" ht="15.75" thickTop="1" x14ac:dyDescent="0.25">
      <c r="B13" s="561" t="s">
        <v>368</v>
      </c>
      <c r="C13" s="358" t="s">
        <v>365</v>
      </c>
      <c r="D13" s="358" t="s">
        <v>372</v>
      </c>
    </row>
    <row r="14" spans="2:11" x14ac:dyDescent="0.25">
      <c r="B14" s="561"/>
      <c r="C14" s="1" t="s">
        <v>366</v>
      </c>
      <c r="D14" s="1" t="s">
        <v>371</v>
      </c>
    </row>
    <row r="15" spans="2:11" ht="15.75" thickBot="1" x14ac:dyDescent="0.3">
      <c r="B15" s="562"/>
      <c r="C15" s="359" t="s">
        <v>367</v>
      </c>
      <c r="D15" s="359" t="s">
        <v>370</v>
      </c>
    </row>
    <row r="16" spans="2:11" ht="15.75" thickTop="1" x14ac:dyDescent="0.25">
      <c r="B16" s="561" t="s">
        <v>721</v>
      </c>
      <c r="C16" s="358" t="s">
        <v>722</v>
      </c>
      <c r="D16" s="358" t="s">
        <v>372</v>
      </c>
    </row>
    <row r="17" spans="2:4" x14ac:dyDescent="0.25">
      <c r="B17" s="561"/>
      <c r="C17" s="1" t="s">
        <v>723</v>
      </c>
      <c r="D17" s="1" t="s">
        <v>371</v>
      </c>
    </row>
    <row r="18" spans="2:4" x14ac:dyDescent="0.25">
      <c r="B18" s="563"/>
      <c r="C18" s="1" t="s">
        <v>724</v>
      </c>
      <c r="D18" s="1" t="s">
        <v>370</v>
      </c>
    </row>
    <row r="20" spans="2:4" x14ac:dyDescent="0.25">
      <c r="B20" s="366" t="s">
        <v>373</v>
      </c>
    </row>
    <row r="21" spans="2:4" x14ac:dyDescent="0.25">
      <c r="B21" s="558" t="s">
        <v>756</v>
      </c>
      <c r="C21" s="558"/>
      <c r="D21" s="558"/>
    </row>
    <row r="22" spans="2:4" x14ac:dyDescent="0.25">
      <c r="B22" s="558"/>
      <c r="C22" s="558"/>
      <c r="D22" s="558"/>
    </row>
    <row r="23" spans="2:4" x14ac:dyDescent="0.25">
      <c r="B23" s="558"/>
      <c r="C23" s="558"/>
      <c r="D23" s="558"/>
    </row>
    <row r="24" spans="2:4" x14ac:dyDescent="0.25">
      <c r="B24" s="558"/>
      <c r="C24" s="558"/>
      <c r="D24" s="558"/>
    </row>
    <row r="25" spans="2:4" x14ac:dyDescent="0.25">
      <c r="B25" s="558"/>
      <c r="C25" s="558"/>
      <c r="D25" s="558"/>
    </row>
    <row r="26" spans="2:4" x14ac:dyDescent="0.25">
      <c r="B26" s="558"/>
      <c r="C26" s="558"/>
      <c r="D26" s="558"/>
    </row>
    <row r="27" spans="2:4" x14ac:dyDescent="0.25">
      <c r="B27" s="558"/>
      <c r="C27" s="558"/>
      <c r="D27" s="558"/>
    </row>
    <row r="28" spans="2:4" x14ac:dyDescent="0.25">
      <c r="B28" s="557" t="s">
        <v>755</v>
      </c>
      <c r="C28" s="375"/>
      <c r="D28" s="375"/>
    </row>
    <row r="29" spans="2:4" x14ac:dyDescent="0.25">
      <c r="B29" s="558" t="s">
        <v>758</v>
      </c>
      <c r="C29" s="558"/>
      <c r="D29" s="558"/>
    </row>
    <row r="30" spans="2:4" x14ac:dyDescent="0.25">
      <c r="B30" s="558"/>
      <c r="C30" s="558"/>
      <c r="D30" s="558"/>
    </row>
    <row r="31" spans="2:4" x14ac:dyDescent="0.25">
      <c r="B31" s="558"/>
      <c r="C31" s="558"/>
      <c r="D31" s="558"/>
    </row>
    <row r="32" spans="2:4" x14ac:dyDescent="0.25">
      <c r="B32" s="558"/>
      <c r="C32" s="558"/>
      <c r="D32" s="558"/>
    </row>
    <row r="33" spans="2:4" x14ac:dyDescent="0.25">
      <c r="B33" s="558"/>
      <c r="C33" s="558"/>
      <c r="D33" s="558"/>
    </row>
  </sheetData>
  <mergeCells count="7">
    <mergeCell ref="B29:D33"/>
    <mergeCell ref="B2:D5"/>
    <mergeCell ref="B10:B12"/>
    <mergeCell ref="B16:B18"/>
    <mergeCell ref="B21:D27"/>
    <mergeCell ref="B13:B15"/>
    <mergeCell ref="B7:D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S120"/>
  <sheetViews>
    <sheetView showGridLines="0" zoomScaleNormal="100" workbookViewId="0"/>
  </sheetViews>
  <sheetFormatPr defaultRowHeight="15" x14ac:dyDescent="0.25"/>
  <cols>
    <col min="2" max="2" width="29.140625" customWidth="1"/>
    <col min="3" max="3" width="18.5703125" customWidth="1"/>
    <col min="4" max="4" width="13.140625" customWidth="1"/>
    <col min="5" max="5" width="16.140625" customWidth="1"/>
    <col min="6" max="6" width="23.28515625" customWidth="1"/>
    <col min="8" max="8" width="13.85546875" customWidth="1"/>
    <col min="9" max="10" width="11.28515625" customWidth="1"/>
    <col min="11" max="11" width="10.5703125" customWidth="1"/>
    <col min="12" max="12" width="15.28515625" customWidth="1"/>
    <col min="13" max="13" width="9.28515625" customWidth="1"/>
    <col min="14" max="14" width="10.5703125" customWidth="1"/>
    <col min="15" max="15" width="18.85546875" customWidth="1"/>
    <col min="16" max="16" width="18.28515625" customWidth="1"/>
    <col min="17" max="18" width="12.85546875" customWidth="1"/>
    <col min="19" max="19" width="14.140625" customWidth="1"/>
  </cols>
  <sheetData>
    <row r="1" spans="1:19" x14ac:dyDescent="0.25">
      <c r="B1" s="575" t="s">
        <v>473</v>
      </c>
      <c r="C1" s="575"/>
      <c r="D1" s="575"/>
      <c r="E1" s="575"/>
      <c r="F1" s="575"/>
      <c r="G1" s="575"/>
      <c r="H1" s="575"/>
    </row>
    <row r="2" spans="1:19" ht="15.75" thickBot="1" x14ac:dyDescent="0.3"/>
    <row r="3" spans="1:19" ht="15" customHeight="1" thickTop="1" x14ac:dyDescent="0.25">
      <c r="B3" s="565" t="s">
        <v>472</v>
      </c>
      <c r="C3" s="565"/>
      <c r="E3" s="581" t="s">
        <v>317</v>
      </c>
      <c r="F3" s="582"/>
      <c r="G3" s="598" t="s">
        <v>100</v>
      </c>
      <c r="H3" s="598"/>
      <c r="I3" s="594" t="s">
        <v>7</v>
      </c>
      <c r="J3" s="594"/>
      <c r="K3" s="598" t="s">
        <v>79</v>
      </c>
      <c r="L3" s="612"/>
      <c r="N3" s="572" t="s">
        <v>379</v>
      </c>
      <c r="O3" s="572"/>
      <c r="P3" s="374">
        <f>IF(C104=2,FWY_Calculations!L89+FWY_Calculations!L95,FWY_Calculations!L134+FWY_Calculations!L136)</f>
        <v>6.188002343212049</v>
      </c>
    </row>
    <row r="4" spans="1:19" ht="20.100000000000001" customHeight="1" x14ac:dyDescent="0.25">
      <c r="B4" s="13" t="s">
        <v>471</v>
      </c>
      <c r="C4" s="300"/>
      <c r="E4" s="583"/>
      <c r="F4" s="584"/>
      <c r="G4" s="565"/>
      <c r="H4" s="565"/>
      <c r="I4" s="577"/>
      <c r="J4" s="577"/>
      <c r="K4" s="565"/>
      <c r="L4" s="613"/>
      <c r="N4" s="572" t="s">
        <v>380</v>
      </c>
      <c r="O4" s="572"/>
      <c r="P4" s="374">
        <f>IF(C104=2,FWY_Calculations!L94+FWY_Calculations!L100,FWY_Calculations!L135+FWY_Calculations!L137)</f>
        <v>8.7628139321675764</v>
      </c>
    </row>
    <row r="5" spans="1:19" ht="20.100000000000001" customHeight="1" x14ac:dyDescent="0.25">
      <c r="B5" s="13" t="s">
        <v>191</v>
      </c>
      <c r="C5" s="115">
        <v>3</v>
      </c>
      <c r="E5" s="585" t="s">
        <v>298</v>
      </c>
      <c r="F5" s="586"/>
      <c r="G5" s="595">
        <f>FWY_Calculations!C58</f>
        <v>-5.8207660913467407E-11</v>
      </c>
      <c r="H5" s="595"/>
      <c r="I5" s="599"/>
      <c r="J5" s="599"/>
      <c r="K5" s="595">
        <f>IF(FWY_Ref!M14=1,G5,IF(FWY_Ref!M14=2,IF(I5&lt;&gt;"",I5,G5),"SELECT VALUE"))</f>
        <v>-5.8207660913467407E-11</v>
      </c>
      <c r="L5" s="614" t="str">
        <f>IF(FWY_Ref!K28=1,FWY_Setup!#REF!,IF(FWY_Ref!K28=2,IF(K5&lt;&gt;"",FWY_Setup!#REF!,J5),"SELECT VALUE"))</f>
        <v>SELECT VALUE</v>
      </c>
      <c r="N5" s="572" t="s">
        <v>381</v>
      </c>
      <c r="O5" s="572"/>
      <c r="P5" s="374">
        <f>P3-P7</f>
        <v>6.188002343212049</v>
      </c>
    </row>
    <row r="6" spans="1:19" ht="20.100000000000001" customHeight="1" x14ac:dyDescent="0.25">
      <c r="B6" s="13" t="s">
        <v>286</v>
      </c>
      <c r="C6" s="283">
        <v>40000</v>
      </c>
      <c r="E6" s="28" t="s">
        <v>201</v>
      </c>
      <c r="F6" s="376"/>
      <c r="G6" s="118"/>
      <c r="H6" s="118"/>
      <c r="I6" s="376"/>
      <c r="J6" s="376"/>
      <c r="K6" s="376"/>
      <c r="L6" s="116"/>
      <c r="N6" s="572" t="s">
        <v>382</v>
      </c>
      <c r="O6" s="572"/>
      <c r="P6" s="374">
        <f>P4-P8</f>
        <v>8.7628139321675764</v>
      </c>
    </row>
    <row r="7" spans="1:19" ht="20.100000000000001" customHeight="1" x14ac:dyDescent="0.25">
      <c r="B7" s="13" t="s">
        <v>2</v>
      </c>
      <c r="C7" s="299"/>
      <c r="E7" s="589"/>
      <c r="F7" s="590"/>
      <c r="G7" s="604"/>
      <c r="H7" s="604"/>
      <c r="I7" s="376"/>
      <c r="J7" s="602"/>
      <c r="K7" s="603"/>
      <c r="L7" s="11"/>
      <c r="N7" s="572" t="s">
        <v>383</v>
      </c>
      <c r="O7" s="572"/>
      <c r="P7" s="374">
        <f>IF(C104=2,FWY_Calculations!L101+FWY_Calculations!L107,FWY_Calculations!L138+FWY_Calculations!L144)</f>
        <v>0</v>
      </c>
    </row>
    <row r="8" spans="1:19" ht="20.100000000000001" customHeight="1" x14ac:dyDescent="0.25">
      <c r="A8" s="376"/>
      <c r="B8" s="13" t="s">
        <v>61</v>
      </c>
      <c r="C8" s="298"/>
      <c r="D8" s="8"/>
      <c r="E8" s="587"/>
      <c r="F8" s="588"/>
      <c r="G8" s="596"/>
      <c r="H8" s="597"/>
      <c r="I8" s="7"/>
      <c r="J8" s="600"/>
      <c r="K8" s="601"/>
      <c r="L8" s="117"/>
      <c r="N8" s="572" t="s">
        <v>384</v>
      </c>
      <c r="O8" s="572"/>
      <c r="P8" s="374">
        <f>IF(C104=2,FWY_Calculations!L106+FWY_Calculations!L112,FWY_Calculations!L143+FWY_Calculations!L149)</f>
        <v>0</v>
      </c>
    </row>
    <row r="9" spans="1:19" ht="20.100000000000001" customHeight="1" x14ac:dyDescent="0.25">
      <c r="A9" s="376"/>
      <c r="B9" s="275"/>
      <c r="C9" s="275"/>
      <c r="D9" s="8"/>
      <c r="E9" s="608" t="s">
        <v>287</v>
      </c>
      <c r="F9" s="609"/>
      <c r="G9" s="610">
        <f>FWY_Calculations!L151</f>
        <v>0</v>
      </c>
      <c r="H9" s="611"/>
      <c r="I9" s="2"/>
      <c r="J9" s="605" t="s">
        <v>101</v>
      </c>
      <c r="K9" s="605"/>
      <c r="L9" s="119">
        <f>G10/K5</f>
        <v>0</v>
      </c>
    </row>
    <row r="10" spans="1:19" ht="20.100000000000001" customHeight="1" thickBot="1" x14ac:dyDescent="0.3">
      <c r="A10" s="295"/>
      <c r="B10" s="799" t="s">
        <v>62</v>
      </c>
      <c r="C10" s="799"/>
      <c r="D10" s="297"/>
      <c r="E10" s="617" t="s">
        <v>288</v>
      </c>
      <c r="F10" s="618"/>
      <c r="G10" s="619">
        <f>G9*((1+FWY_Setup!F102)^20-1)/(FWY_Setup!F102*(1+FWY_Setup!F102)^20)</f>
        <v>0</v>
      </c>
      <c r="H10" s="619"/>
      <c r="I10" s="12"/>
      <c r="J10" s="620" t="s">
        <v>289</v>
      </c>
      <c r="K10" s="620"/>
      <c r="L10" s="218">
        <f>G10-K5</f>
        <v>5.8207660913467407E-11</v>
      </c>
    </row>
    <row r="11" spans="1:19" ht="20.100000000000001" customHeight="1" thickTop="1" x14ac:dyDescent="0.25">
      <c r="A11" s="295"/>
      <c r="B11" s="800" t="s">
        <v>63</v>
      </c>
      <c r="C11" s="800"/>
      <c r="D11" s="8"/>
      <c r="E11" s="391"/>
      <c r="F11" s="391"/>
      <c r="G11" s="393"/>
      <c r="H11" s="393"/>
      <c r="I11" s="376"/>
      <c r="J11" s="391"/>
      <c r="K11" s="391"/>
      <c r="L11" s="296"/>
    </row>
    <row r="12" spans="1:19" ht="20.100000000000001" customHeight="1" x14ac:dyDescent="0.25">
      <c r="A12" s="295"/>
      <c r="B12" s="817" t="s">
        <v>470</v>
      </c>
      <c r="C12" s="593"/>
      <c r="D12" s="9"/>
      <c r="E12" s="565" t="s">
        <v>65</v>
      </c>
      <c r="F12" s="565"/>
      <c r="G12" s="565"/>
      <c r="H12" s="376"/>
      <c r="I12" s="376"/>
      <c r="J12" s="376"/>
      <c r="K12" s="376"/>
      <c r="L12" s="376"/>
      <c r="M12" s="376"/>
    </row>
    <row r="13" spans="1:19" ht="15" customHeight="1" x14ac:dyDescent="0.25">
      <c r="A13" s="7"/>
      <c r="B13" s="423"/>
      <c r="C13" s="423"/>
      <c r="D13" s="376"/>
      <c r="E13" s="580" t="s">
        <v>192</v>
      </c>
      <c r="F13" s="580"/>
      <c r="G13" s="389">
        <v>0.15</v>
      </c>
      <c r="H13" s="8"/>
      <c r="I13" s="376"/>
      <c r="J13" s="376"/>
      <c r="K13" s="376"/>
      <c r="L13" s="376"/>
      <c r="M13" s="376"/>
      <c r="N13" s="376"/>
      <c r="O13" s="376"/>
    </row>
    <row r="14" spans="1:19" ht="20.100000000000001" customHeight="1" x14ac:dyDescent="0.25">
      <c r="A14" s="376"/>
      <c r="B14" s="565" t="s">
        <v>57</v>
      </c>
      <c r="C14" s="565"/>
      <c r="D14" s="8"/>
      <c r="E14" s="580" t="s">
        <v>66</v>
      </c>
      <c r="F14" s="580"/>
      <c r="G14" s="59">
        <v>3250</v>
      </c>
      <c r="H14" s="7"/>
      <c r="I14" s="801" t="s">
        <v>67</v>
      </c>
      <c r="J14" s="606"/>
      <c r="K14" s="606"/>
      <c r="L14" s="606"/>
      <c r="M14" s="607"/>
      <c r="N14" s="380"/>
      <c r="O14" s="26"/>
      <c r="P14" s="26"/>
      <c r="Q14" s="26"/>
      <c r="R14" s="26"/>
      <c r="S14" s="26"/>
    </row>
    <row r="15" spans="1:19" ht="20.100000000000001" customHeight="1" x14ac:dyDescent="0.25">
      <c r="B15" s="282" t="s">
        <v>469</v>
      </c>
      <c r="C15" s="280"/>
      <c r="D15" s="376"/>
      <c r="E15" s="580" t="s">
        <v>193</v>
      </c>
      <c r="F15" s="580"/>
      <c r="G15" s="60">
        <v>4</v>
      </c>
      <c r="H15" s="7"/>
      <c r="I15" s="803" t="s">
        <v>717</v>
      </c>
      <c r="J15" s="804"/>
      <c r="K15" s="804"/>
      <c r="L15" s="805"/>
      <c r="M15" s="760">
        <v>4</v>
      </c>
      <c r="N15" s="421"/>
      <c r="O15" s="129"/>
      <c r="P15" s="129"/>
      <c r="Q15" s="129"/>
      <c r="R15" s="129"/>
      <c r="S15" s="129"/>
    </row>
    <row r="16" spans="1:19" ht="20.100000000000001" customHeight="1" x14ac:dyDescent="0.25">
      <c r="B16" s="13" t="s">
        <v>176</v>
      </c>
      <c r="C16" s="3"/>
      <c r="E16" s="815"/>
      <c r="F16" s="816"/>
      <c r="G16" s="422"/>
      <c r="H16" s="3"/>
      <c r="I16" s="806"/>
      <c r="J16" s="645"/>
      <c r="K16" s="645"/>
      <c r="L16" s="654"/>
      <c r="M16" s="761"/>
      <c r="N16" s="129"/>
      <c r="O16" s="129"/>
      <c r="P16" s="129"/>
      <c r="Q16" s="129"/>
      <c r="R16" s="129"/>
      <c r="S16" s="129"/>
    </row>
    <row r="17" spans="1:19" ht="20.100000000000001" customHeight="1" x14ac:dyDescent="0.25">
      <c r="B17" s="13" t="s">
        <v>451</v>
      </c>
      <c r="C17" s="280"/>
      <c r="E17" s="615" t="s">
        <v>318</v>
      </c>
      <c r="F17" s="615"/>
      <c r="G17" s="615"/>
      <c r="H17" s="392"/>
      <c r="I17" s="807"/>
      <c r="J17" s="808"/>
      <c r="K17" s="808"/>
      <c r="L17" s="664"/>
      <c r="M17" s="762"/>
      <c r="N17" s="421"/>
      <c r="O17" s="129"/>
      <c r="P17" s="129"/>
      <c r="Q17" s="129"/>
      <c r="R17" s="129"/>
      <c r="S17" s="129"/>
    </row>
    <row r="18" spans="1:19" ht="20.100000000000001" customHeight="1" x14ac:dyDescent="0.25">
      <c r="B18" s="13" t="s">
        <v>450</v>
      </c>
      <c r="C18" s="1"/>
      <c r="E18" s="616" t="s">
        <v>320</v>
      </c>
      <c r="F18" s="616"/>
      <c r="G18" s="616"/>
      <c r="H18" s="420"/>
      <c r="I18" s="560" t="s">
        <v>70</v>
      </c>
      <c r="J18" s="809" t="s">
        <v>468</v>
      </c>
      <c r="K18" s="810"/>
      <c r="L18" s="809" t="s">
        <v>467</v>
      </c>
      <c r="M18" s="821"/>
      <c r="N18" s="419"/>
      <c r="O18" s="407"/>
      <c r="P18" s="407"/>
      <c r="Q18" s="407"/>
      <c r="R18" s="407"/>
      <c r="S18" s="407"/>
    </row>
    <row r="19" spans="1:19" ht="20.100000000000001" customHeight="1" x14ac:dyDescent="0.25">
      <c r="B19" s="281" t="s">
        <v>466</v>
      </c>
      <c r="C19" s="3"/>
      <c r="E19" s="220" t="s">
        <v>186</v>
      </c>
      <c r="F19" s="802" t="s">
        <v>187</v>
      </c>
      <c r="G19" s="697"/>
      <c r="H19" s="418"/>
      <c r="I19" s="561"/>
      <c r="J19" s="811"/>
      <c r="K19" s="812"/>
      <c r="L19" s="811"/>
      <c r="M19" s="822"/>
      <c r="N19" s="819"/>
      <c r="O19" s="818"/>
      <c r="P19" s="818"/>
      <c r="Q19" s="818"/>
      <c r="R19" s="818"/>
      <c r="S19" s="818"/>
    </row>
    <row r="20" spans="1:19" ht="22.5" customHeight="1" x14ac:dyDescent="0.25">
      <c r="B20" s="282" t="s">
        <v>465</v>
      </c>
      <c r="C20" s="416">
        <v>30</v>
      </c>
      <c r="E20" s="26"/>
      <c r="F20" s="26"/>
      <c r="G20" s="529"/>
      <c r="H20" s="417"/>
      <c r="I20" s="563"/>
      <c r="J20" s="813"/>
      <c r="K20" s="814"/>
      <c r="L20" s="813"/>
      <c r="M20" s="823"/>
      <c r="N20" s="820"/>
      <c r="O20" s="818"/>
      <c r="P20" s="818"/>
      <c r="Q20" s="818"/>
      <c r="R20" s="818"/>
      <c r="S20" s="818"/>
    </row>
    <row r="21" spans="1:19" ht="20.100000000000001" customHeight="1" x14ac:dyDescent="0.25">
      <c r="B21" s="282" t="s">
        <v>464</v>
      </c>
      <c r="C21" s="416"/>
      <c r="E21" s="801" t="s">
        <v>321</v>
      </c>
      <c r="F21" s="606"/>
      <c r="G21" s="607"/>
      <c r="H21" s="415"/>
      <c r="I21" s="29">
        <v>1</v>
      </c>
      <c r="J21" s="830">
        <v>0.2</v>
      </c>
      <c r="K21" s="831"/>
      <c r="L21" s="826">
        <v>2200</v>
      </c>
      <c r="M21" s="827"/>
      <c r="N21" s="413"/>
      <c r="O21" s="412"/>
      <c r="P21" s="411"/>
      <c r="Q21" s="376"/>
      <c r="R21" s="376"/>
      <c r="S21" s="376"/>
    </row>
    <row r="22" spans="1:19" ht="20.100000000000001" customHeight="1" x14ac:dyDescent="0.25">
      <c r="B22" s="13" t="s">
        <v>448</v>
      </c>
      <c r="C22" s="25"/>
      <c r="E22" s="591" t="s">
        <v>322</v>
      </c>
      <c r="F22" s="592"/>
      <c r="G22" s="503">
        <v>5</v>
      </c>
      <c r="I22" s="294">
        <v>2</v>
      </c>
      <c r="J22" s="824">
        <v>0.2</v>
      </c>
      <c r="K22" s="825"/>
      <c r="L22" s="828">
        <v>2250</v>
      </c>
      <c r="M22" s="829"/>
      <c r="N22" s="413"/>
      <c r="O22" s="412"/>
      <c r="P22" s="411"/>
      <c r="Q22" s="376"/>
      <c r="R22" s="376"/>
      <c r="S22" s="376"/>
    </row>
    <row r="23" spans="1:19" ht="20.100000000000001" customHeight="1" x14ac:dyDescent="0.25">
      <c r="B23" s="13" t="s">
        <v>439</v>
      </c>
      <c r="C23" s="1"/>
      <c r="E23" s="591" t="s">
        <v>456</v>
      </c>
      <c r="F23" s="592"/>
      <c r="G23" s="503">
        <v>0</v>
      </c>
      <c r="I23" s="29">
        <v>3</v>
      </c>
      <c r="J23" s="752">
        <v>0.15</v>
      </c>
      <c r="K23" s="753"/>
      <c r="L23" s="796">
        <v>3000</v>
      </c>
      <c r="M23" s="795"/>
      <c r="N23" s="413"/>
      <c r="O23" s="412"/>
      <c r="P23" s="411"/>
      <c r="Q23" s="376"/>
      <c r="R23" s="376"/>
      <c r="S23" s="376"/>
    </row>
    <row r="24" spans="1:19" ht="20.100000000000001" customHeight="1" x14ac:dyDescent="0.25">
      <c r="B24" s="390" t="s">
        <v>449</v>
      </c>
      <c r="C24" s="507">
        <v>15</v>
      </c>
      <c r="E24" s="591" t="s">
        <v>455</v>
      </c>
      <c r="F24" s="592"/>
      <c r="G24" s="503">
        <v>0</v>
      </c>
      <c r="I24" s="87">
        <v>4</v>
      </c>
      <c r="J24" s="752">
        <v>0.15</v>
      </c>
      <c r="K24" s="753"/>
      <c r="L24" s="794">
        <v>3050</v>
      </c>
      <c r="M24" s="795"/>
      <c r="N24" s="413"/>
      <c r="O24" s="412"/>
      <c r="P24" s="411"/>
      <c r="Q24" s="376"/>
      <c r="R24" s="376"/>
      <c r="S24" s="376"/>
    </row>
    <row r="25" spans="1:19" ht="20.100000000000001" customHeight="1" x14ac:dyDescent="0.25">
      <c r="B25" s="390" t="s">
        <v>463</v>
      </c>
      <c r="C25" s="414"/>
      <c r="E25" s="591" t="s">
        <v>454</v>
      </c>
      <c r="F25" s="592"/>
      <c r="G25" s="503">
        <v>0</v>
      </c>
      <c r="I25" s="29">
        <v>5</v>
      </c>
      <c r="J25" s="752"/>
      <c r="K25" s="753"/>
      <c r="L25" s="796"/>
      <c r="M25" s="795"/>
      <c r="N25" s="413"/>
      <c r="O25" s="412"/>
      <c r="P25" s="411"/>
      <c r="Q25" s="376"/>
      <c r="R25" s="376"/>
      <c r="S25" s="376"/>
    </row>
    <row r="26" spans="1:19" ht="20.100000000000001" customHeight="1" x14ac:dyDescent="0.25">
      <c r="B26" s="390" t="s">
        <v>462</v>
      </c>
      <c r="C26" s="87"/>
      <c r="E26" s="572" t="s">
        <v>453</v>
      </c>
      <c r="F26" s="572"/>
      <c r="G26" s="503">
        <v>0</v>
      </c>
      <c r="I26" s="29">
        <v>6</v>
      </c>
      <c r="J26" s="752"/>
      <c r="K26" s="753"/>
      <c r="L26" s="794"/>
      <c r="M26" s="795"/>
      <c r="N26" s="413"/>
      <c r="O26" s="412"/>
      <c r="P26" s="411"/>
      <c r="Q26" s="376"/>
      <c r="R26" s="376"/>
      <c r="S26" s="376"/>
    </row>
    <row r="27" spans="1:19" ht="20.100000000000001" customHeight="1" x14ac:dyDescent="0.25">
      <c r="B27" s="390" t="s">
        <v>461</v>
      </c>
      <c r="C27" s="508">
        <v>0</v>
      </c>
      <c r="E27" s="26"/>
      <c r="F27" s="26"/>
      <c r="G27" s="529"/>
      <c r="I27" s="29">
        <v>7</v>
      </c>
      <c r="J27" s="752"/>
      <c r="K27" s="753"/>
      <c r="L27" s="796"/>
      <c r="M27" s="795"/>
      <c r="N27" s="413"/>
      <c r="O27" s="412"/>
      <c r="P27" s="411"/>
      <c r="Q27" s="376"/>
      <c r="R27" s="376"/>
      <c r="S27" s="376"/>
    </row>
    <row r="28" spans="1:19" ht="20.100000000000001" customHeight="1" x14ac:dyDescent="0.25">
      <c r="A28" s="376"/>
      <c r="B28" s="530"/>
      <c r="C28" s="131"/>
      <c r="D28" s="407"/>
      <c r="E28" s="407"/>
      <c r="F28" s="407"/>
      <c r="G28" s="529"/>
      <c r="I28" s="29">
        <v>8</v>
      </c>
      <c r="J28" s="752"/>
      <c r="K28" s="753"/>
      <c r="L28" s="796"/>
      <c r="M28" s="795"/>
      <c r="N28" s="413"/>
      <c r="O28" s="412"/>
      <c r="P28" s="411"/>
      <c r="Q28" s="376"/>
      <c r="R28" s="376"/>
      <c r="S28" s="376"/>
    </row>
    <row r="29" spans="1:19" ht="15" customHeight="1" x14ac:dyDescent="0.25">
      <c r="B29" s="245"/>
      <c r="C29" s="245"/>
      <c r="D29" s="407"/>
      <c r="E29" s="407"/>
      <c r="F29" s="407"/>
      <c r="G29" s="130"/>
      <c r="I29" s="29">
        <v>9</v>
      </c>
      <c r="J29" s="752"/>
      <c r="K29" s="753"/>
      <c r="L29" s="796"/>
      <c r="M29" s="795"/>
      <c r="N29" s="413"/>
      <c r="O29" s="412"/>
      <c r="P29" s="411"/>
      <c r="Q29" s="376"/>
      <c r="R29" s="376"/>
      <c r="S29" s="376"/>
    </row>
    <row r="30" spans="1:19" ht="15" customHeight="1" x14ac:dyDescent="0.25">
      <c r="B30" s="565" t="s">
        <v>460</v>
      </c>
      <c r="C30" s="565"/>
      <c r="D30" s="410"/>
      <c r="E30" s="407"/>
      <c r="F30" s="407"/>
      <c r="G30" s="529"/>
      <c r="I30" s="395">
        <v>10</v>
      </c>
      <c r="J30" s="754"/>
      <c r="K30" s="755"/>
      <c r="L30" s="757"/>
      <c r="M30" s="758"/>
      <c r="N30" s="413"/>
      <c r="O30" s="412"/>
      <c r="P30" s="411"/>
      <c r="Q30" s="376"/>
      <c r="R30" s="376"/>
      <c r="S30" s="376"/>
    </row>
    <row r="31" spans="1:19" ht="15" customHeight="1" x14ac:dyDescent="0.25">
      <c r="B31" s="797" t="s">
        <v>459</v>
      </c>
      <c r="C31" s="798">
        <v>1</v>
      </c>
      <c r="D31" s="410"/>
      <c r="E31" s="26"/>
      <c r="F31" s="26"/>
      <c r="G31" s="130"/>
      <c r="I31" s="600"/>
      <c r="J31" s="756"/>
      <c r="K31" s="756"/>
      <c r="L31" s="601"/>
      <c r="M31" s="376"/>
      <c r="N31" s="376"/>
    </row>
    <row r="32" spans="1:19" ht="15" customHeight="1" x14ac:dyDescent="0.25">
      <c r="B32" s="797"/>
      <c r="C32" s="798"/>
      <c r="D32" s="410"/>
      <c r="E32" s="410"/>
      <c r="F32" s="7"/>
      <c r="I32" s="565" t="s">
        <v>443</v>
      </c>
      <c r="J32" s="565"/>
      <c r="K32" s="565"/>
      <c r="L32" s="565"/>
    </row>
    <row r="33" spans="2:14" ht="15" customHeight="1" x14ac:dyDescent="0.25">
      <c r="B33" s="390" t="s">
        <v>747</v>
      </c>
      <c r="C33" s="514">
        <v>1</v>
      </c>
      <c r="D33" s="408"/>
      <c r="E33" s="408"/>
      <c r="F33" s="7"/>
      <c r="I33" s="572" t="s">
        <v>458</v>
      </c>
      <c r="J33" s="572"/>
      <c r="K33" s="572"/>
      <c r="L33" s="25">
        <v>1</v>
      </c>
    </row>
    <row r="34" spans="2:14" ht="15" customHeight="1" x14ac:dyDescent="0.25">
      <c r="B34" s="409" t="s">
        <v>442</v>
      </c>
      <c r="C34" s="515">
        <v>10</v>
      </c>
      <c r="D34" s="408"/>
      <c r="E34" s="408"/>
      <c r="F34" s="7"/>
      <c r="I34" s="700"/>
      <c r="J34" s="717"/>
      <c r="K34" s="701"/>
      <c r="L34" s="118"/>
    </row>
    <row r="35" spans="2:14" ht="15" customHeight="1" x14ac:dyDescent="0.25">
      <c r="B35" s="409" t="s">
        <v>737</v>
      </c>
      <c r="C35" s="516" t="s">
        <v>698</v>
      </c>
      <c r="D35" s="408"/>
      <c r="E35" s="408"/>
      <c r="F35" s="7"/>
      <c r="I35" s="394"/>
      <c r="J35" s="394"/>
      <c r="K35" s="394"/>
      <c r="L35" s="376"/>
    </row>
    <row r="36" spans="2:14" ht="15" customHeight="1" x14ac:dyDescent="0.25">
      <c r="B36" s="7"/>
      <c r="C36" s="7"/>
      <c r="D36" s="408"/>
      <c r="E36" s="408"/>
      <c r="F36" s="7"/>
      <c r="H36" s="26"/>
      <c r="I36" s="26"/>
      <c r="J36" s="26"/>
      <c r="K36" s="26"/>
      <c r="L36" s="26"/>
      <c r="M36" s="26"/>
    </row>
    <row r="37" spans="2:14" ht="15" customHeight="1" x14ac:dyDescent="0.25">
      <c r="B37" s="572" t="s">
        <v>748</v>
      </c>
      <c r="C37" s="571" t="s">
        <v>750</v>
      </c>
      <c r="D37" s="694" t="s">
        <v>433</v>
      </c>
      <c r="E37" s="694" t="s">
        <v>432</v>
      </c>
      <c r="F37" s="7"/>
      <c r="H37" s="26"/>
      <c r="I37" s="571" t="s">
        <v>439</v>
      </c>
      <c r="J37" s="571" t="s">
        <v>434</v>
      </c>
      <c r="K37" s="571"/>
      <c r="L37" s="571" t="s">
        <v>433</v>
      </c>
      <c r="M37" s="571" t="s">
        <v>432</v>
      </c>
      <c r="N37" s="571"/>
    </row>
    <row r="38" spans="2:14" ht="15" customHeight="1" x14ac:dyDescent="0.25">
      <c r="B38" s="572"/>
      <c r="C38" s="571"/>
      <c r="D38" s="694"/>
      <c r="E38" s="694"/>
      <c r="F38" s="7"/>
      <c r="H38" s="407"/>
      <c r="I38" s="571"/>
      <c r="J38" s="571"/>
      <c r="K38" s="571"/>
      <c r="L38" s="571"/>
      <c r="M38" s="571"/>
      <c r="N38" s="571"/>
    </row>
    <row r="39" spans="2:14" ht="15" customHeight="1" x14ac:dyDescent="0.25">
      <c r="B39" s="397">
        <v>1</v>
      </c>
      <c r="C39" s="509">
        <v>0.27500000000000002</v>
      </c>
      <c r="D39" s="517">
        <v>5</v>
      </c>
      <c r="E39" s="517" t="s">
        <v>698</v>
      </c>
      <c r="F39" s="376"/>
      <c r="H39" s="26"/>
      <c r="I39" s="397">
        <v>1</v>
      </c>
      <c r="J39" s="751">
        <v>0.125</v>
      </c>
      <c r="K39" s="751"/>
      <c r="L39" s="522">
        <v>8</v>
      </c>
      <c r="M39" s="759" t="s">
        <v>431</v>
      </c>
      <c r="N39" s="759"/>
    </row>
    <row r="40" spans="2:14" ht="15" customHeight="1" x14ac:dyDescent="0.25">
      <c r="B40" s="397">
        <v>2</v>
      </c>
      <c r="C40" s="509"/>
      <c r="D40" s="517"/>
      <c r="E40" s="517"/>
      <c r="F40" s="376"/>
      <c r="H40" s="394"/>
      <c r="I40" s="397">
        <v>2</v>
      </c>
      <c r="J40" s="751"/>
      <c r="K40" s="751"/>
      <c r="L40" s="511"/>
      <c r="M40" s="759"/>
      <c r="N40" s="759"/>
    </row>
    <row r="41" spans="2:14" ht="15" customHeight="1" x14ac:dyDescent="0.25">
      <c r="B41" s="397">
        <v>3</v>
      </c>
      <c r="C41" s="509"/>
      <c r="D41" s="517"/>
      <c r="E41" s="517"/>
      <c r="F41" s="376"/>
      <c r="H41" s="394"/>
      <c r="I41" s="397">
        <v>3</v>
      </c>
      <c r="J41" s="751"/>
      <c r="K41" s="751"/>
      <c r="L41" s="511"/>
      <c r="M41" s="759"/>
      <c r="N41" s="759"/>
    </row>
    <row r="42" spans="2:14" ht="15" customHeight="1" x14ac:dyDescent="0.25">
      <c r="B42" s="397">
        <v>4</v>
      </c>
      <c r="C42" s="509"/>
      <c r="D42" s="517"/>
      <c r="E42" s="517"/>
      <c r="F42" s="376"/>
      <c r="H42" s="394"/>
      <c r="I42" s="397">
        <v>4</v>
      </c>
      <c r="J42" s="751"/>
      <c r="K42" s="751"/>
      <c r="L42" s="511"/>
      <c r="M42" s="759"/>
      <c r="N42" s="759"/>
    </row>
    <row r="43" spans="2:14" ht="15" customHeight="1" x14ac:dyDescent="0.25">
      <c r="B43" s="397">
        <v>5</v>
      </c>
      <c r="C43" s="509"/>
      <c r="D43" s="517"/>
      <c r="E43" s="517"/>
      <c r="F43" s="376"/>
      <c r="H43" s="394"/>
      <c r="I43" s="397">
        <v>5</v>
      </c>
      <c r="J43" s="751"/>
      <c r="K43" s="751"/>
      <c r="L43" s="511"/>
      <c r="M43" s="759"/>
      <c r="N43" s="759"/>
    </row>
    <row r="44" spans="2:14" ht="15" customHeight="1" x14ac:dyDescent="0.25">
      <c r="B44" s="397">
        <v>6</v>
      </c>
      <c r="C44" s="509"/>
      <c r="D44" s="517"/>
      <c r="E44" s="517"/>
      <c r="F44" s="376"/>
      <c r="H44" s="394"/>
      <c r="I44" s="397">
        <v>6</v>
      </c>
      <c r="J44" s="751"/>
      <c r="K44" s="751"/>
      <c r="L44" s="511"/>
      <c r="M44" s="759"/>
      <c r="N44" s="759"/>
    </row>
    <row r="45" spans="2:14" ht="15" customHeight="1" x14ac:dyDescent="0.25">
      <c r="B45" s="397">
        <v>7</v>
      </c>
      <c r="C45" s="398"/>
      <c r="D45" s="518"/>
      <c r="E45" s="518"/>
      <c r="F45" s="7"/>
      <c r="H45" s="26"/>
      <c r="I45" s="397">
        <v>7</v>
      </c>
      <c r="J45" s="751"/>
      <c r="K45" s="751"/>
      <c r="L45" s="510"/>
      <c r="M45" s="759"/>
      <c r="N45" s="759"/>
    </row>
    <row r="46" spans="2:14" ht="15" customHeight="1" x14ac:dyDescent="0.25">
      <c r="B46" s="397">
        <v>8</v>
      </c>
      <c r="C46" s="398"/>
      <c r="D46" s="518"/>
      <c r="E46" s="518"/>
      <c r="F46" s="7"/>
      <c r="H46" s="407"/>
      <c r="I46" s="400">
        <v>8</v>
      </c>
      <c r="J46" s="763"/>
      <c r="K46" s="763"/>
      <c r="L46" s="512"/>
      <c r="M46" s="767"/>
      <c r="N46" s="767"/>
    </row>
    <row r="47" spans="2:14" x14ac:dyDescent="0.25">
      <c r="B47" s="397">
        <v>9</v>
      </c>
      <c r="C47" s="398"/>
      <c r="D47" s="518"/>
      <c r="E47" s="518"/>
      <c r="F47" s="7"/>
      <c r="I47" s="397">
        <v>9</v>
      </c>
      <c r="J47" s="574"/>
      <c r="K47" s="574"/>
      <c r="L47" s="513"/>
      <c r="M47" s="766"/>
      <c r="N47" s="766"/>
    </row>
    <row r="48" spans="2:14" x14ac:dyDescent="0.25">
      <c r="B48" s="397">
        <v>10</v>
      </c>
      <c r="C48" s="398"/>
      <c r="D48" s="518"/>
      <c r="E48" s="518"/>
      <c r="F48" s="7"/>
      <c r="I48" s="397">
        <v>10</v>
      </c>
      <c r="J48" s="574"/>
      <c r="K48" s="574"/>
      <c r="L48" s="513"/>
      <c r="M48" s="766"/>
      <c r="N48" s="766"/>
    </row>
    <row r="49" spans="2:12" x14ac:dyDescent="0.25">
      <c r="B49" s="394"/>
      <c r="C49" s="406"/>
      <c r="D49" s="405"/>
      <c r="E49" s="7"/>
      <c r="F49" s="7"/>
      <c r="I49" s="394"/>
      <c r="J49" s="404"/>
      <c r="K49" s="404"/>
      <c r="L49" s="376"/>
    </row>
    <row r="50" spans="2:12" ht="15" customHeight="1" x14ac:dyDescent="0.25">
      <c r="B50" s="634" t="s">
        <v>332</v>
      </c>
      <c r="C50" s="707" t="s">
        <v>452</v>
      </c>
      <c r="D50" s="640" t="s">
        <v>314</v>
      </c>
      <c r="E50" s="778"/>
      <c r="F50" s="641"/>
      <c r="G50" s="577" t="s">
        <v>167</v>
      </c>
      <c r="H50" s="577"/>
    </row>
    <row r="51" spans="2:12" ht="30.75" customHeight="1" x14ac:dyDescent="0.25">
      <c r="B51" s="635"/>
      <c r="C51" s="707"/>
      <c r="D51" s="779"/>
      <c r="E51" s="780"/>
      <c r="F51" s="781"/>
      <c r="G51" s="577"/>
      <c r="H51" s="577"/>
    </row>
    <row r="52" spans="2:12" ht="30" customHeight="1" x14ac:dyDescent="0.25">
      <c r="B52" s="13" t="s">
        <v>176</v>
      </c>
      <c r="C52" s="27"/>
      <c r="D52" s="782"/>
      <c r="E52" s="783"/>
      <c r="F52" s="784"/>
      <c r="G52" s="832" t="str">
        <f>IF(FWY_Ref!$J$7=TRUE,IF(FWY_Ref!$L$7&lt;&gt;"",FWY_Ref!$L$7,"SELECT VALUE"),"Retain Lane Width")</f>
        <v>Retain Lane Width</v>
      </c>
      <c r="H52" s="832"/>
    </row>
    <row r="53" spans="2:12" ht="30" customHeight="1" x14ac:dyDescent="0.25">
      <c r="B53" s="13" t="s">
        <v>451</v>
      </c>
      <c r="C53" s="27"/>
      <c r="D53" s="636"/>
      <c r="E53" s="785"/>
      <c r="F53" s="637"/>
      <c r="G53" s="833" t="str">
        <f>IF(FWY_Ref!J8=TRUE,IF(FWY_Ref!L8&lt;&gt;"",FWY_Ref!L8,"SELECT VALUE"),"Retain Outside Shoulder Width")</f>
        <v>Retain Outside Shoulder Width</v>
      </c>
      <c r="H53" s="834"/>
    </row>
    <row r="54" spans="2:12" ht="30" customHeight="1" x14ac:dyDescent="0.25">
      <c r="B54" s="13" t="s">
        <v>450</v>
      </c>
      <c r="C54" s="27"/>
      <c r="D54" s="636"/>
      <c r="E54" s="785"/>
      <c r="F54" s="637"/>
      <c r="G54" s="835" t="str">
        <f>IF(FWY_Ref!J9=TRUE,IF(FWY_Ref!L9&lt;&gt;"",FWY_Ref!L9,"SELECT VALUE"),"Retain Inside Shoulder Width")</f>
        <v>Retain Inside Shoulder Width</v>
      </c>
      <c r="H54" s="835"/>
    </row>
    <row r="55" spans="2:12" ht="30" customHeight="1" x14ac:dyDescent="0.25">
      <c r="B55" s="13" t="s">
        <v>448</v>
      </c>
      <c r="C55" s="27"/>
      <c r="D55" s="786"/>
      <c r="E55" s="787"/>
      <c r="F55" s="788"/>
      <c r="G55" s="836" t="str">
        <f>IF(FWY_Ref!J11=TRUE,IF(FWY_Ref!L11="","SELECT OPTION",FWY_Ref!L11),"No Change")</f>
        <v>No Change</v>
      </c>
      <c r="H55" s="836"/>
    </row>
    <row r="56" spans="2:12" ht="30" customHeight="1" x14ac:dyDescent="0.25">
      <c r="B56" s="13" t="s">
        <v>439</v>
      </c>
      <c r="C56" s="27"/>
      <c r="D56" s="770"/>
      <c r="E56" s="771"/>
      <c r="F56" s="772"/>
      <c r="G56" s="836" t="str">
        <f>IF(C106=1,IF(FWY_Ref!J12=TRUE,"Modify Outside Barriers","Retain Existing Outside Barriers"),IF(FWY_Ref!J12=TRUE,"Add Outside Barriers","No Outside Barriers"))</f>
        <v>No Outside Barriers</v>
      </c>
      <c r="H56" s="836"/>
    </row>
    <row r="57" spans="2:12" ht="30" customHeight="1" x14ac:dyDescent="0.25">
      <c r="B57" s="13" t="s">
        <v>447</v>
      </c>
      <c r="C57" s="27"/>
      <c r="D57" s="632"/>
      <c r="E57" s="773"/>
      <c r="F57" s="633"/>
      <c r="G57" s="776" t="str">
        <f>IF(FWY_Ref!C123=1,"Retain Inside Rumble Strip",IF(FWY_Ref!J13=TRUE,"Install","Not Selected"))</f>
        <v>Not Selected</v>
      </c>
      <c r="H57" s="776"/>
    </row>
    <row r="58" spans="2:12" ht="30" customHeight="1" x14ac:dyDescent="0.25">
      <c r="B58" s="13" t="s">
        <v>446</v>
      </c>
      <c r="C58" s="27"/>
      <c r="D58" s="774"/>
      <c r="E58" s="775"/>
      <c r="F58" s="775"/>
      <c r="G58" s="777" t="str">
        <f>IF(FWY_Ref!G123=1,"Retain Outside Rumble Strip",IF(FWY_Ref!J15=TRUE,"Install","Not Selected"))</f>
        <v>Not Selected</v>
      </c>
      <c r="H58" s="777"/>
    </row>
    <row r="59" spans="2:12" x14ac:dyDescent="0.25">
      <c r="F59" s="118"/>
    </row>
    <row r="60" spans="2:12" x14ac:dyDescent="0.25">
      <c r="B60" s="565" t="s">
        <v>445</v>
      </c>
      <c r="C60" s="565"/>
      <c r="E60" s="565" t="s">
        <v>727</v>
      </c>
      <c r="F60" s="565"/>
    </row>
    <row r="61" spans="2:12" x14ac:dyDescent="0.25">
      <c r="B61" s="838" t="s">
        <v>444</v>
      </c>
      <c r="C61" s="840">
        <v>0</v>
      </c>
      <c r="E61" s="572"/>
      <c r="F61" s="789">
        <f>FWY_Calculations!H36</f>
        <v>0</v>
      </c>
    </row>
    <row r="62" spans="2:12" x14ac:dyDescent="0.25">
      <c r="B62" s="839"/>
      <c r="C62" s="841"/>
      <c r="D62" s="10"/>
      <c r="E62" s="572"/>
      <c r="F62" s="789"/>
    </row>
    <row r="63" spans="2:12" x14ac:dyDescent="0.25">
      <c r="B63" s="13" t="s">
        <v>747</v>
      </c>
      <c r="C63" s="519">
        <v>1</v>
      </c>
      <c r="D63" s="403"/>
      <c r="E63" s="376"/>
      <c r="I63" s="565" t="s">
        <v>443</v>
      </c>
      <c r="J63" s="565"/>
      <c r="K63" s="565"/>
      <c r="L63" s="565"/>
    </row>
    <row r="64" spans="2:12" x14ac:dyDescent="0.25">
      <c r="B64" s="13" t="s">
        <v>442</v>
      </c>
      <c r="C64" s="520">
        <v>10</v>
      </c>
      <c r="D64" s="402"/>
      <c r="E64" s="376"/>
      <c r="I64" s="572" t="s">
        <v>441</v>
      </c>
      <c r="J64" s="572"/>
      <c r="K64" s="572"/>
      <c r="L64" s="25">
        <v>0</v>
      </c>
    </row>
    <row r="65" spans="2:16" x14ac:dyDescent="0.25">
      <c r="B65" s="13" t="s">
        <v>737</v>
      </c>
      <c r="C65" s="519" t="s">
        <v>698</v>
      </c>
      <c r="D65" s="500"/>
      <c r="E65" s="376"/>
      <c r="I65" s="394"/>
      <c r="J65" s="394"/>
      <c r="K65" s="394"/>
      <c r="L65" s="376"/>
    </row>
    <row r="66" spans="2:16" x14ac:dyDescent="0.25">
      <c r="D66" s="245"/>
    </row>
    <row r="67" spans="2:16" ht="15" customHeight="1" x14ac:dyDescent="0.25">
      <c r="B67" s="572" t="s">
        <v>748</v>
      </c>
      <c r="C67" s="571" t="s">
        <v>750</v>
      </c>
      <c r="D67" s="694" t="s">
        <v>433</v>
      </c>
      <c r="E67" s="694" t="s">
        <v>751</v>
      </c>
      <c r="F67" s="694" t="s">
        <v>752</v>
      </c>
      <c r="G67" s="571" t="s">
        <v>719</v>
      </c>
      <c r="I67" s="571" t="s">
        <v>439</v>
      </c>
      <c r="J67" s="571" t="s">
        <v>434</v>
      </c>
      <c r="K67" s="571"/>
      <c r="L67" s="571" t="s">
        <v>433</v>
      </c>
      <c r="M67" s="571" t="s">
        <v>438</v>
      </c>
      <c r="N67" s="571"/>
      <c r="O67" s="571" t="s">
        <v>437</v>
      </c>
      <c r="P67" s="571" t="s">
        <v>719</v>
      </c>
    </row>
    <row r="68" spans="2:16" x14ac:dyDescent="0.25">
      <c r="B68" s="572"/>
      <c r="C68" s="571"/>
      <c r="D68" s="694"/>
      <c r="E68" s="694"/>
      <c r="F68" s="694"/>
      <c r="G68" s="571"/>
      <c r="I68" s="571"/>
      <c r="J68" s="571"/>
      <c r="K68" s="571"/>
      <c r="L68" s="571"/>
      <c r="M68" s="571"/>
      <c r="N68" s="571"/>
      <c r="O68" s="571"/>
      <c r="P68" s="571"/>
    </row>
    <row r="69" spans="2:16" x14ac:dyDescent="0.25">
      <c r="B69" s="506">
        <v>1</v>
      </c>
      <c r="C69" s="82">
        <f t="shared" ref="C69:C78" si="0">C39</f>
        <v>0.27500000000000002</v>
      </c>
      <c r="D69" s="83">
        <f>IF(FWY_Ref!G238="Y",D39+FWY_Calculations!$D$18/2,D39-FWY_Calculations!$D$10/2)</f>
        <v>5</v>
      </c>
      <c r="E69" s="517" t="s">
        <v>187</v>
      </c>
      <c r="F69" s="509">
        <v>0</v>
      </c>
      <c r="G69" s="506" t="str">
        <f>IF(FWY_Ref!G238="Y","Yes","No")</f>
        <v>No</v>
      </c>
      <c r="I69" s="506">
        <v>1</v>
      </c>
      <c r="J69" s="768">
        <f t="shared" ref="J69:J78" si="1">J39</f>
        <v>0.125</v>
      </c>
      <c r="K69" s="768"/>
      <c r="L69" s="505">
        <f>IF(FWY_Ref!$G256="Y",FWY_Project!L39+FWY_Calculations!$D$14/2,FWY_Project!L39-FWY_Calculations!$D$9/2)</f>
        <v>8</v>
      </c>
      <c r="M69" s="751" t="s">
        <v>187</v>
      </c>
      <c r="N69" s="751"/>
      <c r="O69" s="554">
        <v>0.2</v>
      </c>
      <c r="P69" s="506" t="str">
        <f>IF(FWY_Ref!G256="Y","Yes","No")</f>
        <v>No</v>
      </c>
    </row>
    <row r="70" spans="2:16" x14ac:dyDescent="0.25">
      <c r="B70" s="506">
        <v>2</v>
      </c>
      <c r="C70" s="82">
        <f t="shared" si="0"/>
        <v>0</v>
      </c>
      <c r="D70" s="83">
        <f>IF(FWY_Ref!G239="Y",D40+FWY_Calculations!$D$18/2,D40-FWY_Calculations!$D$10/2)</f>
        <v>0</v>
      </c>
      <c r="E70" s="517" t="s">
        <v>186</v>
      </c>
      <c r="F70" s="509">
        <v>0.3</v>
      </c>
      <c r="G70" s="506" t="str">
        <f>IF(FWY_Ref!G239="Y","Yes","No")</f>
        <v>Yes</v>
      </c>
      <c r="I70" s="506">
        <v>2</v>
      </c>
      <c r="J70" s="768">
        <f t="shared" si="1"/>
        <v>0</v>
      </c>
      <c r="K70" s="768"/>
      <c r="L70" s="505">
        <f>IF(FWY_Ref!$G257="Y",FWY_Project!L40+FWY_Calculations!$D$14/2,FWY_Project!L40-FWY_Calculations!$D$9/2)</f>
        <v>0</v>
      </c>
      <c r="M70" s="764" t="s">
        <v>187</v>
      </c>
      <c r="N70" s="765"/>
      <c r="O70" s="555"/>
      <c r="P70" s="506" t="str">
        <f>IF(FWY_Ref!G257="Y","Yes","No")</f>
        <v>No</v>
      </c>
    </row>
    <row r="71" spans="2:16" x14ac:dyDescent="0.25">
      <c r="B71" s="506">
        <v>3</v>
      </c>
      <c r="C71" s="82">
        <f t="shared" si="0"/>
        <v>0</v>
      </c>
      <c r="D71" s="83">
        <f>IF(FWY_Ref!G240="Y",D41+FWY_Calculations!$D$18/2,D41-FWY_Calculations!$D$10/2)</f>
        <v>0</v>
      </c>
      <c r="E71" s="517" t="s">
        <v>187</v>
      </c>
      <c r="F71" s="517"/>
      <c r="G71" s="506" t="str">
        <f>IF(FWY_Ref!G240="Y","Yes","No")</f>
        <v>Yes</v>
      </c>
      <c r="I71" s="506">
        <v>3</v>
      </c>
      <c r="J71" s="768">
        <f t="shared" si="1"/>
        <v>0</v>
      </c>
      <c r="K71" s="768"/>
      <c r="L71" s="505">
        <f>IF(FWY_Ref!$G258="Y",FWY_Project!L41+FWY_Calculations!$D$14/2,FWY_Project!L41-FWY_Calculations!$D$9/2)</f>
        <v>0</v>
      </c>
      <c r="M71" s="764" t="s">
        <v>187</v>
      </c>
      <c r="N71" s="765"/>
      <c r="O71" s="555"/>
      <c r="P71" s="506" t="str">
        <f>IF(FWY_Ref!G258="Y","Yes","No")</f>
        <v>No</v>
      </c>
    </row>
    <row r="72" spans="2:16" x14ac:dyDescent="0.25">
      <c r="B72" s="506">
        <v>4</v>
      </c>
      <c r="C72" s="82">
        <f t="shared" si="0"/>
        <v>0</v>
      </c>
      <c r="D72" s="83">
        <f>IF(FWY_Ref!G241="Y",D42+FWY_Calculations!$D$18/2,D42-FWY_Calculations!$D$10/2)</f>
        <v>0</v>
      </c>
      <c r="E72" s="517" t="s">
        <v>187</v>
      </c>
      <c r="F72" s="517"/>
      <c r="G72" s="506" t="str">
        <f>IF(FWY_Ref!G241="Y","Yes","No")</f>
        <v>Yes</v>
      </c>
      <c r="I72" s="506">
        <v>4</v>
      </c>
      <c r="J72" s="768">
        <f t="shared" si="1"/>
        <v>0</v>
      </c>
      <c r="K72" s="768"/>
      <c r="L72" s="505">
        <f>IF(FWY_Ref!$G259="Y",FWY_Project!L42+FWY_Calculations!$D$14/2,FWY_Project!L42-FWY_Calculations!$D$9/2)</f>
        <v>0</v>
      </c>
      <c r="M72" s="764" t="s">
        <v>187</v>
      </c>
      <c r="N72" s="765"/>
      <c r="O72" s="555"/>
      <c r="P72" s="506" t="str">
        <f>IF(FWY_Ref!G259="Y","Yes","No")</f>
        <v>No</v>
      </c>
    </row>
    <row r="73" spans="2:16" x14ac:dyDescent="0.25">
      <c r="B73" s="506">
        <v>5</v>
      </c>
      <c r="C73" s="82">
        <f t="shared" si="0"/>
        <v>0</v>
      </c>
      <c r="D73" s="83">
        <f>IF(FWY_Ref!G242="Y",D43+FWY_Calculations!$D$18/2,D43-FWY_Calculations!$D$10/2)</f>
        <v>0</v>
      </c>
      <c r="E73" s="517" t="s">
        <v>187</v>
      </c>
      <c r="F73" s="517"/>
      <c r="G73" s="506" t="str">
        <f>IF(FWY_Ref!G242="Y","Yes","No")</f>
        <v>Yes</v>
      </c>
      <c r="I73" s="506">
        <v>5</v>
      </c>
      <c r="J73" s="768">
        <f t="shared" si="1"/>
        <v>0</v>
      </c>
      <c r="K73" s="768"/>
      <c r="L73" s="505">
        <f>IF(FWY_Ref!$G260="Y",FWY_Project!L43+FWY_Calculations!$D$14/2,FWY_Project!L43-FWY_Calculations!$D$9/2)</f>
        <v>0</v>
      </c>
      <c r="M73" s="764" t="s">
        <v>187</v>
      </c>
      <c r="N73" s="765"/>
      <c r="O73" s="511"/>
      <c r="P73" s="506" t="str">
        <f>IF(FWY_Ref!G260="Y","Yes","No")</f>
        <v>No</v>
      </c>
    </row>
    <row r="74" spans="2:16" x14ac:dyDescent="0.25">
      <c r="B74" s="506">
        <v>6</v>
      </c>
      <c r="C74" s="82">
        <f t="shared" si="0"/>
        <v>0</v>
      </c>
      <c r="D74" s="83">
        <f>IF(FWY_Ref!G243="Y",D44+FWY_Calculations!$D$18/2,D44-FWY_Calculations!$D$10/2)</f>
        <v>0</v>
      </c>
      <c r="E74" s="517" t="s">
        <v>187</v>
      </c>
      <c r="F74" s="517"/>
      <c r="G74" s="506" t="str">
        <f>IF(FWY_Ref!G243="Y","Yes","No")</f>
        <v>Yes</v>
      </c>
      <c r="I74" s="506">
        <v>6</v>
      </c>
      <c r="J74" s="768">
        <f t="shared" si="1"/>
        <v>0</v>
      </c>
      <c r="K74" s="768"/>
      <c r="L74" s="505">
        <f>IF(FWY_Ref!$G261="Y",FWY_Project!L44+FWY_Calculations!$D$14/2,FWY_Project!L44-FWY_Calculations!$D$9/2)</f>
        <v>0</v>
      </c>
      <c r="M74" s="764" t="s">
        <v>187</v>
      </c>
      <c r="N74" s="765"/>
      <c r="O74" s="511"/>
      <c r="P74" s="506" t="str">
        <f>IF(FWY_Ref!G261="Y","Yes","No")</f>
        <v>No</v>
      </c>
    </row>
    <row r="75" spans="2:16" x14ac:dyDescent="0.25">
      <c r="B75" s="506">
        <v>7</v>
      </c>
      <c r="C75" s="82">
        <f t="shared" si="0"/>
        <v>0</v>
      </c>
      <c r="D75" s="83">
        <f>IF(FWY_Ref!G244="Y",D45+FWY_Calculations!$D$18/2,D45-FWY_Calculations!$D$10/2)</f>
        <v>0</v>
      </c>
      <c r="E75" s="517" t="s">
        <v>187</v>
      </c>
      <c r="F75" s="517"/>
      <c r="G75" s="506" t="str">
        <f>IF(FWY_Ref!G244="Y","Yes","No")</f>
        <v>Yes</v>
      </c>
      <c r="I75" s="506">
        <v>7</v>
      </c>
      <c r="J75" s="768">
        <f t="shared" si="1"/>
        <v>0</v>
      </c>
      <c r="K75" s="768"/>
      <c r="L75" s="401">
        <f>IF(FWY_Ref!$G262="Y",FWY_Project!L45+FWY_Calculations!$D$14/2,FWY_Project!L45-FWY_Calculations!$D$9/2)</f>
        <v>0</v>
      </c>
      <c r="M75" s="764" t="s">
        <v>187</v>
      </c>
      <c r="N75" s="765"/>
      <c r="O75" s="510"/>
      <c r="P75" s="506" t="str">
        <f>IF(FWY_Ref!G262="Y","Yes","No")</f>
        <v>No</v>
      </c>
    </row>
    <row r="76" spans="2:16" x14ac:dyDescent="0.25">
      <c r="B76" s="506">
        <v>8</v>
      </c>
      <c r="C76" s="82">
        <f t="shared" si="0"/>
        <v>0</v>
      </c>
      <c r="D76" s="83">
        <f>IF(FWY_Ref!G245="Y",D46+FWY_Calculations!$D$18/2,D46-FWY_Calculations!$D$10/2)</f>
        <v>0</v>
      </c>
      <c r="E76" s="517" t="s">
        <v>187</v>
      </c>
      <c r="F76" s="517"/>
      <c r="G76" s="506" t="str">
        <f>IF(FWY_Ref!G245="Y","Yes","No")</f>
        <v>Yes</v>
      </c>
      <c r="I76" s="400">
        <v>8</v>
      </c>
      <c r="J76" s="837">
        <f t="shared" si="1"/>
        <v>0</v>
      </c>
      <c r="K76" s="837"/>
      <c r="L76" s="399">
        <f>IF(FWY_Ref!$G263="Y",FWY_Project!L46+FWY_Calculations!$D$14/2,FWY_Project!L46-FWY_Calculations!$D$9/2)</f>
        <v>0</v>
      </c>
      <c r="M76" s="790" t="s">
        <v>187</v>
      </c>
      <c r="N76" s="791"/>
      <c r="O76" s="512"/>
      <c r="P76" s="400" t="str">
        <f>IF(FWY_Ref!G263="Y","Yes","No")</f>
        <v>No</v>
      </c>
    </row>
    <row r="77" spans="2:16" x14ac:dyDescent="0.25">
      <c r="B77" s="506">
        <v>9</v>
      </c>
      <c r="C77" s="82">
        <f t="shared" si="0"/>
        <v>0</v>
      </c>
      <c r="D77" s="83">
        <f>IF(FWY_Ref!G246="Y",D47+FWY_Calculations!$D$18/2,D47-FWY_Calculations!$D$10/2)</f>
        <v>0</v>
      </c>
      <c r="E77" s="517" t="s">
        <v>187</v>
      </c>
      <c r="F77" s="517"/>
      <c r="G77" s="506" t="str">
        <f>IF(FWY_Ref!G246="Y","Yes","No")</f>
        <v>Yes</v>
      </c>
      <c r="I77" s="506">
        <v>9</v>
      </c>
      <c r="J77" s="769">
        <f t="shared" si="1"/>
        <v>0</v>
      </c>
      <c r="K77" s="769"/>
      <c r="L77" s="372">
        <f>IF(FWY_Ref!$G264="Y",FWY_Project!L47+FWY_Calculations!$D$14/2,FWY_Project!L47-FWY_Calculations!$D$9/2)</f>
        <v>0</v>
      </c>
      <c r="M77" s="792" t="s">
        <v>187</v>
      </c>
      <c r="N77" s="793"/>
      <c r="O77" s="513"/>
      <c r="P77" s="506" t="str">
        <f>IF(FWY_Ref!G264="Y","Yes","No")</f>
        <v>No</v>
      </c>
    </row>
    <row r="78" spans="2:16" x14ac:dyDescent="0.25">
      <c r="B78" s="506">
        <v>10</v>
      </c>
      <c r="C78" s="82">
        <f t="shared" si="0"/>
        <v>0</v>
      </c>
      <c r="D78" s="83">
        <f>IF(FWY_Ref!G247="Y",D48+FWY_Calculations!$D$18/2,D48-FWY_Calculations!$D$10/2)</f>
        <v>0</v>
      </c>
      <c r="E78" s="517" t="s">
        <v>187</v>
      </c>
      <c r="F78" s="517"/>
      <c r="G78" s="506" t="str">
        <f>IF(FWY_Ref!G247="Y","Yes","No")</f>
        <v>Yes</v>
      </c>
      <c r="I78" s="506">
        <v>10</v>
      </c>
      <c r="J78" s="769">
        <f t="shared" si="1"/>
        <v>0</v>
      </c>
      <c r="K78" s="769"/>
      <c r="L78" s="372">
        <f>IF(FWY_Ref!$G265="Y",FWY_Project!L48+FWY_Calculations!$D$14/2,FWY_Project!L48-FWY_Calculations!$D$9/2)</f>
        <v>0</v>
      </c>
      <c r="M78" s="792" t="s">
        <v>187</v>
      </c>
      <c r="N78" s="793"/>
      <c r="O78" s="513"/>
      <c r="P78" s="506" t="str">
        <f>IF(FWY_Ref!G265="Y","Yes","No")</f>
        <v>No</v>
      </c>
    </row>
    <row r="80" spans="2:16" ht="15" customHeight="1" x14ac:dyDescent="0.25">
      <c r="B80" s="571" t="s">
        <v>749</v>
      </c>
      <c r="C80" s="571" t="s">
        <v>750</v>
      </c>
      <c r="D80" s="694" t="s">
        <v>433</v>
      </c>
      <c r="E80" s="694" t="s">
        <v>432</v>
      </c>
      <c r="I80" s="571" t="s">
        <v>435</v>
      </c>
      <c r="J80" s="571" t="s">
        <v>434</v>
      </c>
      <c r="K80" s="571"/>
      <c r="L80" s="571" t="s">
        <v>433</v>
      </c>
      <c r="M80" s="571" t="s">
        <v>432</v>
      </c>
      <c r="N80" s="571"/>
    </row>
    <row r="81" spans="2:14" ht="30" customHeight="1" x14ac:dyDescent="0.25">
      <c r="B81" s="571"/>
      <c r="C81" s="571"/>
      <c r="D81" s="694"/>
      <c r="E81" s="694"/>
      <c r="I81" s="571"/>
      <c r="J81" s="571"/>
      <c r="K81" s="571"/>
      <c r="L81" s="571"/>
      <c r="M81" s="571"/>
      <c r="N81" s="571"/>
    </row>
    <row r="82" spans="2:14" x14ac:dyDescent="0.25">
      <c r="B82" s="397">
        <v>1</v>
      </c>
      <c r="C82" s="509">
        <v>0.2</v>
      </c>
      <c r="D82" s="517">
        <v>6</v>
      </c>
      <c r="E82" s="517" t="s">
        <v>431</v>
      </c>
      <c r="I82" s="397">
        <v>1</v>
      </c>
      <c r="J82" s="751">
        <v>0.25</v>
      </c>
      <c r="K82" s="751"/>
      <c r="L82" s="510">
        <v>8</v>
      </c>
      <c r="M82" s="759" t="s">
        <v>431</v>
      </c>
      <c r="N82" s="759"/>
    </row>
    <row r="83" spans="2:14" x14ac:dyDescent="0.25">
      <c r="B83" s="397">
        <v>2</v>
      </c>
      <c r="C83" s="509"/>
      <c r="D83" s="517"/>
      <c r="E83" s="517"/>
      <c r="I83" s="397">
        <v>2</v>
      </c>
      <c r="J83" s="751"/>
      <c r="K83" s="751"/>
      <c r="L83" s="511"/>
      <c r="M83" s="759"/>
      <c r="N83" s="759"/>
    </row>
    <row r="84" spans="2:14" x14ac:dyDescent="0.25">
      <c r="B84" s="397">
        <v>3</v>
      </c>
      <c r="C84" s="509"/>
      <c r="D84" s="517"/>
      <c r="E84" s="517"/>
      <c r="I84" s="397">
        <v>3</v>
      </c>
      <c r="J84" s="751"/>
      <c r="K84" s="751"/>
      <c r="L84" s="511"/>
      <c r="M84" s="759"/>
      <c r="N84" s="759"/>
    </row>
    <row r="85" spans="2:14" x14ac:dyDescent="0.25">
      <c r="B85" s="397">
        <v>4</v>
      </c>
      <c r="C85" s="509"/>
      <c r="D85" s="517"/>
      <c r="E85" s="517"/>
      <c r="I85" s="397">
        <v>4</v>
      </c>
      <c r="J85" s="751"/>
      <c r="K85" s="751"/>
      <c r="L85" s="511"/>
      <c r="M85" s="759"/>
      <c r="N85" s="759"/>
    </row>
    <row r="86" spans="2:14" x14ac:dyDescent="0.25">
      <c r="B86" s="397">
        <v>5</v>
      </c>
      <c r="C86" s="509"/>
      <c r="D86" s="517"/>
      <c r="E86" s="517"/>
      <c r="I86" s="397">
        <v>5</v>
      </c>
      <c r="J86" s="751"/>
      <c r="K86" s="751"/>
      <c r="L86" s="511"/>
      <c r="M86" s="759"/>
      <c r="N86" s="759"/>
    </row>
    <row r="87" spans="2:14" x14ac:dyDescent="0.25">
      <c r="B87" s="397">
        <v>6</v>
      </c>
      <c r="C87" s="509"/>
      <c r="D87" s="517"/>
      <c r="E87" s="517"/>
      <c r="I87" s="397">
        <v>6</v>
      </c>
      <c r="J87" s="751"/>
      <c r="K87" s="751"/>
      <c r="L87" s="511"/>
      <c r="M87" s="759"/>
      <c r="N87" s="759"/>
    </row>
    <row r="88" spans="2:14" x14ac:dyDescent="0.25">
      <c r="B88" s="397">
        <v>7</v>
      </c>
      <c r="C88" s="398"/>
      <c r="D88" s="518"/>
      <c r="E88" s="518"/>
      <c r="I88" s="397">
        <v>7</v>
      </c>
      <c r="J88" s="751"/>
      <c r="K88" s="751"/>
      <c r="L88" s="510"/>
      <c r="M88" s="759"/>
      <c r="N88" s="759"/>
    </row>
    <row r="89" spans="2:14" x14ac:dyDescent="0.25">
      <c r="B89" s="397">
        <v>8</v>
      </c>
      <c r="C89" s="398"/>
      <c r="D89" s="518"/>
      <c r="E89" s="518"/>
      <c r="I89" s="400">
        <v>8</v>
      </c>
      <c r="J89" s="763"/>
      <c r="K89" s="763"/>
      <c r="L89" s="512"/>
      <c r="M89" s="767"/>
      <c r="N89" s="767"/>
    </row>
    <row r="90" spans="2:14" x14ac:dyDescent="0.25">
      <c r="B90" s="397">
        <v>9</v>
      </c>
      <c r="C90" s="398"/>
      <c r="D90" s="518"/>
      <c r="E90" s="518"/>
      <c r="I90" s="397">
        <v>9</v>
      </c>
      <c r="J90" s="574"/>
      <c r="K90" s="574"/>
      <c r="L90" s="513"/>
      <c r="M90" s="766"/>
      <c r="N90" s="766"/>
    </row>
    <row r="91" spans="2:14" x14ac:dyDescent="0.25">
      <c r="B91" s="397">
        <v>10</v>
      </c>
      <c r="C91" s="398"/>
      <c r="D91" s="518"/>
      <c r="E91" s="518"/>
      <c r="I91" s="397">
        <v>10</v>
      </c>
      <c r="J91" s="574"/>
      <c r="K91" s="574"/>
      <c r="L91" s="513"/>
      <c r="M91" s="766"/>
      <c r="N91" s="766"/>
    </row>
    <row r="98" spans="2:3" x14ac:dyDescent="0.25">
      <c r="B98" t="s">
        <v>430</v>
      </c>
      <c r="C98">
        <f>FWY_Ref!A274</f>
        <v>1</v>
      </c>
    </row>
    <row r="99" spans="2:3" x14ac:dyDescent="0.25">
      <c r="B99" t="s">
        <v>429</v>
      </c>
      <c r="C99" t="b">
        <f>FWY_Ref!J11</f>
        <v>0</v>
      </c>
    </row>
    <row r="100" spans="2:3" x14ac:dyDescent="0.25">
      <c r="B100" t="s">
        <v>428</v>
      </c>
      <c r="C100" t="b">
        <f>FWY_Ref!J12</f>
        <v>0</v>
      </c>
    </row>
    <row r="101" spans="2:3" x14ac:dyDescent="0.25">
      <c r="B101" t="s">
        <v>427</v>
      </c>
      <c r="C101" t="b">
        <f>FWY_Ref!J10</f>
        <v>0</v>
      </c>
    </row>
    <row r="102" spans="2:3" x14ac:dyDescent="0.25">
      <c r="B102" t="s">
        <v>426</v>
      </c>
      <c r="C102">
        <f>FWY_Ref!D133</f>
        <v>1</v>
      </c>
    </row>
    <row r="103" spans="2:3" x14ac:dyDescent="0.25">
      <c r="B103" t="s">
        <v>333</v>
      </c>
      <c r="C103">
        <f>FWY_Ref!C7</f>
        <v>1</v>
      </c>
    </row>
    <row r="104" spans="2:3" x14ac:dyDescent="0.25">
      <c r="B104" t="s">
        <v>319</v>
      </c>
      <c r="C104">
        <f>FWY_Ref!C19</f>
        <v>1</v>
      </c>
    </row>
    <row r="105" spans="2:3" x14ac:dyDescent="0.25">
      <c r="B105" t="s">
        <v>425</v>
      </c>
      <c r="C105">
        <f>FWY_Ref!$C$131</f>
        <v>4</v>
      </c>
    </row>
    <row r="106" spans="2:3" x14ac:dyDescent="0.25">
      <c r="B106" t="s">
        <v>424</v>
      </c>
      <c r="C106">
        <f>FWY_Ref!$G$129</f>
        <v>2</v>
      </c>
    </row>
    <row r="107" spans="2:3" x14ac:dyDescent="0.25">
      <c r="B107" t="s">
        <v>423</v>
      </c>
      <c r="C107">
        <f>FWY_Ref!$G$133</f>
        <v>2</v>
      </c>
    </row>
    <row r="108" spans="2:3" x14ac:dyDescent="0.25">
      <c r="B108" t="s">
        <v>422</v>
      </c>
      <c r="C108">
        <f>FWY_Ref!$A$274</f>
        <v>1</v>
      </c>
    </row>
    <row r="109" spans="2:3" x14ac:dyDescent="0.25">
      <c r="B109" t="s">
        <v>421</v>
      </c>
    </row>
    <row r="110" spans="2:3" x14ac:dyDescent="0.25">
      <c r="B110" t="s">
        <v>420</v>
      </c>
    </row>
    <row r="111" spans="2:3" x14ac:dyDescent="0.25">
      <c r="B111" t="s">
        <v>419</v>
      </c>
    </row>
    <row r="112" spans="2:3" x14ac:dyDescent="0.25">
      <c r="B112" t="s">
        <v>418</v>
      </c>
    </row>
    <row r="114" spans="2:3" x14ac:dyDescent="0.25">
      <c r="B114" t="s">
        <v>186</v>
      </c>
    </row>
    <row r="115" spans="2:3" x14ac:dyDescent="0.25">
      <c r="B115" t="s">
        <v>187</v>
      </c>
    </row>
    <row r="117" spans="2:3" x14ac:dyDescent="0.25">
      <c r="B117" t="s">
        <v>417</v>
      </c>
    </row>
    <row r="118" spans="2:3" x14ac:dyDescent="0.25">
      <c r="B118" t="s">
        <v>416</v>
      </c>
    </row>
    <row r="120" spans="2:3" x14ac:dyDescent="0.25">
      <c r="B120" t="s">
        <v>728</v>
      </c>
      <c r="C120" t="b">
        <v>0</v>
      </c>
    </row>
  </sheetData>
  <mergeCells count="199">
    <mergeCell ref="B80:B81"/>
    <mergeCell ref="C80:C81"/>
    <mergeCell ref="D80:D81"/>
    <mergeCell ref="J21:K21"/>
    <mergeCell ref="G52:H52"/>
    <mergeCell ref="G53:H53"/>
    <mergeCell ref="G54:H54"/>
    <mergeCell ref="G55:H55"/>
    <mergeCell ref="G56:H56"/>
    <mergeCell ref="J76:K76"/>
    <mergeCell ref="J77:K77"/>
    <mergeCell ref="B60:C60"/>
    <mergeCell ref="B61:B62"/>
    <mergeCell ref="C61:C62"/>
    <mergeCell ref="B67:B68"/>
    <mergeCell ref="C67:C68"/>
    <mergeCell ref="D67:D68"/>
    <mergeCell ref="E67:E68"/>
    <mergeCell ref="B50:B51"/>
    <mergeCell ref="C50:C51"/>
    <mergeCell ref="J24:K24"/>
    <mergeCell ref="D37:D38"/>
    <mergeCell ref="E25:F25"/>
    <mergeCell ref="E24:F24"/>
    <mergeCell ref="R19:R20"/>
    <mergeCell ref="S19:S20"/>
    <mergeCell ref="N19:N20"/>
    <mergeCell ref="O19:O20"/>
    <mergeCell ref="P19:P20"/>
    <mergeCell ref="L18:M20"/>
    <mergeCell ref="J22:K22"/>
    <mergeCell ref="J23:K23"/>
    <mergeCell ref="L21:M21"/>
    <mergeCell ref="L22:M22"/>
    <mergeCell ref="L23:M23"/>
    <mergeCell ref="Q19:Q20"/>
    <mergeCell ref="B1:H1"/>
    <mergeCell ref="B14:C14"/>
    <mergeCell ref="E14:F14"/>
    <mergeCell ref="E15:F15"/>
    <mergeCell ref="E16:F16"/>
    <mergeCell ref="G5:H5"/>
    <mergeCell ref="G8:H8"/>
    <mergeCell ref="G3:H4"/>
    <mergeCell ref="K3:L4"/>
    <mergeCell ref="K5:L5"/>
    <mergeCell ref="J7:K7"/>
    <mergeCell ref="G7:H7"/>
    <mergeCell ref="I3:J4"/>
    <mergeCell ref="E12:G12"/>
    <mergeCell ref="B3:C3"/>
    <mergeCell ref="E3:F4"/>
    <mergeCell ref="E5:F5"/>
    <mergeCell ref="E8:F8"/>
    <mergeCell ref="E7:F7"/>
    <mergeCell ref="E9:F9"/>
    <mergeCell ref="G9:H9"/>
    <mergeCell ref="B12:C12"/>
    <mergeCell ref="I5:J5"/>
    <mergeCell ref="J8:K8"/>
    <mergeCell ref="J9:K9"/>
    <mergeCell ref="G10:H10"/>
    <mergeCell ref="E17:G17"/>
    <mergeCell ref="E18:G18"/>
    <mergeCell ref="E10:F10"/>
    <mergeCell ref="I15:L17"/>
    <mergeCell ref="J10:K10"/>
    <mergeCell ref="J18:K20"/>
    <mergeCell ref="I18:I20"/>
    <mergeCell ref="I14:M14"/>
    <mergeCell ref="B10:C10"/>
    <mergeCell ref="B11:C11"/>
    <mergeCell ref="E13:F13"/>
    <mergeCell ref="E21:G21"/>
    <mergeCell ref="F19:G19"/>
    <mergeCell ref="E23:F23"/>
    <mergeCell ref="J25:K25"/>
    <mergeCell ref="J26:K26"/>
    <mergeCell ref="J27:K27"/>
    <mergeCell ref="L25:M25"/>
    <mergeCell ref="L26:M26"/>
    <mergeCell ref="L27:M27"/>
    <mergeCell ref="B37:B38"/>
    <mergeCell ref="C37:C38"/>
    <mergeCell ref="B31:B32"/>
    <mergeCell ref="C31:C32"/>
    <mergeCell ref="B30:C30"/>
    <mergeCell ref="J37:K38"/>
    <mergeCell ref="L28:M28"/>
    <mergeCell ref="L29:M29"/>
    <mergeCell ref="J40:K40"/>
    <mergeCell ref="J41:K41"/>
    <mergeCell ref="E22:F22"/>
    <mergeCell ref="P67:P68"/>
    <mergeCell ref="M80:N81"/>
    <mergeCell ref="O67:O68"/>
    <mergeCell ref="M44:N44"/>
    <mergeCell ref="M45:N45"/>
    <mergeCell ref="M46:N46"/>
    <mergeCell ref="M47:N47"/>
    <mergeCell ref="J42:K42"/>
    <mergeCell ref="J43:K43"/>
    <mergeCell ref="M76:N76"/>
    <mergeCell ref="M77:N77"/>
    <mergeCell ref="M78:N78"/>
    <mergeCell ref="J73:K73"/>
    <mergeCell ref="J74:K74"/>
    <mergeCell ref="J75:K75"/>
    <mergeCell ref="M69:N69"/>
    <mergeCell ref="J47:K47"/>
    <mergeCell ref="J48:K48"/>
    <mergeCell ref="J44:K44"/>
    <mergeCell ref="J45:K45"/>
    <mergeCell ref="L24:M24"/>
    <mergeCell ref="M42:N42"/>
    <mergeCell ref="M43:N43"/>
    <mergeCell ref="E80:E81"/>
    <mergeCell ref="G67:G68"/>
    <mergeCell ref="I80:I81"/>
    <mergeCell ref="F67:F68"/>
    <mergeCell ref="E26:F26"/>
    <mergeCell ref="D56:F56"/>
    <mergeCell ref="D57:F57"/>
    <mergeCell ref="D58:F58"/>
    <mergeCell ref="I63:L63"/>
    <mergeCell ref="G57:H57"/>
    <mergeCell ref="G58:H58"/>
    <mergeCell ref="D50:F51"/>
    <mergeCell ref="D52:F52"/>
    <mergeCell ref="D53:F53"/>
    <mergeCell ref="D54:F54"/>
    <mergeCell ref="D55:F55"/>
    <mergeCell ref="E60:F60"/>
    <mergeCell ref="E61:E62"/>
    <mergeCell ref="F61:F62"/>
    <mergeCell ref="E37:E38"/>
    <mergeCell ref="I37:I38"/>
    <mergeCell ref="J39:K39"/>
    <mergeCell ref="M91:N91"/>
    <mergeCell ref="M48:N48"/>
    <mergeCell ref="M87:N87"/>
    <mergeCell ref="M88:N88"/>
    <mergeCell ref="M89:N89"/>
    <mergeCell ref="M90:N90"/>
    <mergeCell ref="J91:K91"/>
    <mergeCell ref="J88:K88"/>
    <mergeCell ref="J89:K89"/>
    <mergeCell ref="J90:K90"/>
    <mergeCell ref="J69:K69"/>
    <mergeCell ref="J70:K70"/>
    <mergeCell ref="J71:K71"/>
    <mergeCell ref="J72:K72"/>
    <mergeCell ref="J78:K78"/>
    <mergeCell ref="L80:L81"/>
    <mergeCell ref="J87:K87"/>
    <mergeCell ref="M67:N68"/>
    <mergeCell ref="M85:N85"/>
    <mergeCell ref="M86:N86"/>
    <mergeCell ref="M84:N84"/>
    <mergeCell ref="J80:K81"/>
    <mergeCell ref="J82:K82"/>
    <mergeCell ref="J83:K83"/>
    <mergeCell ref="G50:H51"/>
    <mergeCell ref="M74:N74"/>
    <mergeCell ref="M75:N75"/>
    <mergeCell ref="M72:N72"/>
    <mergeCell ref="M73:N73"/>
    <mergeCell ref="I64:K64"/>
    <mergeCell ref="M83:N83"/>
    <mergeCell ref="I67:I68"/>
    <mergeCell ref="M82:N82"/>
    <mergeCell ref="M70:N70"/>
    <mergeCell ref="M71:N71"/>
    <mergeCell ref="J67:K68"/>
    <mergeCell ref="L67:L68"/>
    <mergeCell ref="N3:O3"/>
    <mergeCell ref="N4:O4"/>
    <mergeCell ref="N5:O5"/>
    <mergeCell ref="N6:O6"/>
    <mergeCell ref="N7:O7"/>
    <mergeCell ref="N8:O8"/>
    <mergeCell ref="J84:K84"/>
    <mergeCell ref="J85:K85"/>
    <mergeCell ref="J86:K86"/>
    <mergeCell ref="J28:K28"/>
    <mergeCell ref="J29:K29"/>
    <mergeCell ref="J30:K30"/>
    <mergeCell ref="L37:L38"/>
    <mergeCell ref="M37:N38"/>
    <mergeCell ref="I31:L31"/>
    <mergeCell ref="I33:K33"/>
    <mergeCell ref="I34:K34"/>
    <mergeCell ref="L30:M30"/>
    <mergeCell ref="I32:L32"/>
    <mergeCell ref="M39:N39"/>
    <mergeCell ref="M40:N40"/>
    <mergeCell ref="M41:N41"/>
    <mergeCell ref="M15:M17"/>
    <mergeCell ref="J46:K46"/>
  </mergeCells>
  <conditionalFormatting sqref="E21:G24">
    <cfRule type="expression" dxfId="303" priority="295">
      <formula>$C$104=2</formula>
    </cfRule>
  </conditionalFormatting>
  <conditionalFormatting sqref="E12:G15">
    <cfRule type="expression" dxfId="302" priority="293">
      <formula>$C$103=1</formula>
    </cfRule>
    <cfRule type="expression" dxfId="301" priority="294">
      <formula>$C$103=2</formula>
    </cfRule>
  </conditionalFormatting>
  <conditionalFormatting sqref="B37:D48 B30:C35">
    <cfRule type="expression" dxfId="300" priority="135">
      <formula>$C$105=4</formula>
    </cfRule>
  </conditionalFormatting>
  <conditionalFormatting sqref="I40:L48">
    <cfRule type="expression" dxfId="299" priority="266">
      <formula>$L$33=1</formula>
    </cfRule>
  </conditionalFormatting>
  <conditionalFormatting sqref="I39:L39">
    <cfRule type="expression" dxfId="298" priority="265">
      <formula>$L$33&gt;0</formula>
    </cfRule>
  </conditionalFormatting>
  <conditionalFormatting sqref="I41:L48">
    <cfRule type="expression" dxfId="297" priority="264">
      <formula>$L$33=2</formula>
    </cfRule>
  </conditionalFormatting>
  <conditionalFormatting sqref="I40:L40">
    <cfRule type="expression" dxfId="296" priority="263">
      <formula>$L$33&gt;1</formula>
    </cfRule>
  </conditionalFormatting>
  <conditionalFormatting sqref="I42:L48">
    <cfRule type="expression" dxfId="295" priority="262">
      <formula>$L$33=3</formula>
    </cfRule>
  </conditionalFormatting>
  <conditionalFormatting sqref="I41:L41">
    <cfRule type="expression" dxfId="294" priority="261">
      <formula>$L$33&gt;2</formula>
    </cfRule>
  </conditionalFormatting>
  <conditionalFormatting sqref="I43:L48">
    <cfRule type="expression" dxfId="293" priority="260">
      <formula>$L$33=4</formula>
    </cfRule>
  </conditionalFormatting>
  <conditionalFormatting sqref="I42:L42">
    <cfRule type="expression" dxfId="292" priority="259">
      <formula>$L$33&gt;3</formula>
    </cfRule>
  </conditionalFormatting>
  <conditionalFormatting sqref="I44:L48">
    <cfRule type="expression" dxfId="291" priority="258">
      <formula>$L$33=5</formula>
    </cfRule>
  </conditionalFormatting>
  <conditionalFormatting sqref="I43:L43">
    <cfRule type="expression" dxfId="290" priority="257">
      <formula>$L$33&gt;4</formula>
    </cfRule>
  </conditionalFormatting>
  <conditionalFormatting sqref="I45:L48">
    <cfRule type="expression" dxfId="289" priority="256">
      <formula>$L$33=6</formula>
    </cfRule>
  </conditionalFormatting>
  <conditionalFormatting sqref="I44:L44">
    <cfRule type="expression" dxfId="288" priority="255">
      <formula>$L$33&gt;5</formula>
    </cfRule>
  </conditionalFormatting>
  <conditionalFormatting sqref="I46:L48">
    <cfRule type="expression" dxfId="287" priority="254">
      <formula>$L$33=7</formula>
    </cfRule>
  </conditionalFormatting>
  <conditionalFormatting sqref="I45:L45">
    <cfRule type="expression" dxfId="286" priority="253">
      <formula>$L$33&gt;6</formula>
    </cfRule>
  </conditionalFormatting>
  <conditionalFormatting sqref="I47:L48">
    <cfRule type="expression" dxfId="285" priority="252">
      <formula>$L$33=8</formula>
    </cfRule>
  </conditionalFormatting>
  <conditionalFormatting sqref="I46:L46">
    <cfRule type="expression" dxfId="284" priority="251">
      <formula>$L$33&gt;7</formula>
    </cfRule>
  </conditionalFormatting>
  <conditionalFormatting sqref="I48:L48">
    <cfRule type="expression" dxfId="283" priority="250">
      <formula>$L$33=9</formula>
    </cfRule>
  </conditionalFormatting>
  <conditionalFormatting sqref="I47:L47">
    <cfRule type="expression" dxfId="282" priority="249">
      <formula>$L$33&gt;8</formula>
    </cfRule>
  </conditionalFormatting>
  <conditionalFormatting sqref="I32:N48">
    <cfRule type="expression" dxfId="281" priority="248">
      <formula>$C$106=2</formula>
    </cfRule>
  </conditionalFormatting>
  <conditionalFormatting sqref="I22:M30">
    <cfRule type="expression" dxfId="280" priority="247" stopIfTrue="1">
      <formula>$M$15=1</formula>
    </cfRule>
  </conditionalFormatting>
  <conditionalFormatting sqref="I21:M21">
    <cfRule type="expression" dxfId="279" priority="246">
      <formula>$M$15&gt;0</formula>
    </cfRule>
  </conditionalFormatting>
  <conditionalFormatting sqref="I23:M30">
    <cfRule type="expression" dxfId="278" priority="245" stopIfTrue="1">
      <formula>$M$15=2</formula>
    </cfRule>
  </conditionalFormatting>
  <conditionalFormatting sqref="I22:M22">
    <cfRule type="expression" dxfId="277" priority="244">
      <formula>$M$15&gt;1</formula>
    </cfRule>
  </conditionalFormatting>
  <conditionalFormatting sqref="I24:M30">
    <cfRule type="expression" dxfId="276" priority="243" stopIfTrue="1">
      <formula>$M$15=3</formula>
    </cfRule>
  </conditionalFormatting>
  <conditionalFormatting sqref="I23:M23">
    <cfRule type="expression" dxfId="275" priority="242">
      <formula>$M$15&gt;2</formula>
    </cfRule>
  </conditionalFormatting>
  <conditionalFormatting sqref="I25:M30">
    <cfRule type="expression" dxfId="274" priority="241" stopIfTrue="1">
      <formula>$M$15=4</formula>
    </cfRule>
  </conditionalFormatting>
  <conditionalFormatting sqref="I24:M24">
    <cfRule type="expression" dxfId="273" priority="240">
      <formula>$M$15&gt;3</formula>
    </cfRule>
  </conditionalFormatting>
  <conditionalFormatting sqref="I26:M30">
    <cfRule type="expression" dxfId="272" priority="239" stopIfTrue="1">
      <formula>$M$15=5</formula>
    </cfRule>
  </conditionalFormatting>
  <conditionalFormatting sqref="I25:M25">
    <cfRule type="expression" dxfId="271" priority="238">
      <formula>$M$15&gt;4</formula>
    </cfRule>
  </conditionalFormatting>
  <conditionalFormatting sqref="I27:M30">
    <cfRule type="expression" dxfId="270" priority="237" stopIfTrue="1">
      <formula>$M$15=6</formula>
    </cfRule>
  </conditionalFormatting>
  <conditionalFormatting sqref="I26:M26">
    <cfRule type="expression" dxfId="269" priority="236">
      <formula>$M$15&gt;5</formula>
    </cfRule>
  </conditionalFormatting>
  <conditionalFormatting sqref="I28:M30">
    <cfRule type="expression" dxfId="268" priority="235" stopIfTrue="1">
      <formula>$M$15=7</formula>
    </cfRule>
  </conditionalFormatting>
  <conditionalFormatting sqref="I27:M27">
    <cfRule type="expression" dxfId="267" priority="234">
      <formula>$M$15&gt;6</formula>
    </cfRule>
  </conditionalFormatting>
  <conditionalFormatting sqref="I29:M30">
    <cfRule type="expression" dxfId="266" priority="233" stopIfTrue="1">
      <formula>$M$15=8</formula>
    </cfRule>
  </conditionalFormatting>
  <conditionalFormatting sqref="I28:M28">
    <cfRule type="expression" dxfId="265" priority="232">
      <formula>$M$15&gt;7</formula>
    </cfRule>
  </conditionalFormatting>
  <conditionalFormatting sqref="I30:M30">
    <cfRule type="expression" dxfId="264" priority="231" stopIfTrue="1">
      <formula>$M$15=9</formula>
    </cfRule>
  </conditionalFormatting>
  <conditionalFormatting sqref="I29:M29">
    <cfRule type="expression" dxfId="263" priority="230">
      <formula>$M$15&gt;8</formula>
    </cfRule>
  </conditionalFormatting>
  <conditionalFormatting sqref="I14:M30">
    <cfRule type="expression" dxfId="262" priority="229" stopIfTrue="1">
      <formula>$C$103=1</formula>
    </cfRule>
  </conditionalFormatting>
  <conditionalFormatting sqref="B80:D81">
    <cfRule type="expression" dxfId="261" priority="224">
      <formula>$C$61=0</formula>
    </cfRule>
  </conditionalFormatting>
  <conditionalFormatting sqref="B82:D91">
    <cfRule type="expression" dxfId="260" priority="221">
      <formula>$C$61=0</formula>
    </cfRule>
  </conditionalFormatting>
  <conditionalFormatting sqref="B83:D91">
    <cfRule type="expression" dxfId="259" priority="223">
      <formula>$C$61=1</formula>
    </cfRule>
  </conditionalFormatting>
  <conditionalFormatting sqref="B82:D82">
    <cfRule type="expression" dxfId="258" priority="222">
      <formula>$C$61&gt;0</formula>
    </cfRule>
  </conditionalFormatting>
  <conditionalFormatting sqref="B84:D91">
    <cfRule type="expression" dxfId="257" priority="220">
      <formula>$C$61=2</formula>
    </cfRule>
  </conditionalFormatting>
  <conditionalFormatting sqref="B83:D83">
    <cfRule type="expression" dxfId="256" priority="219">
      <formula>$C$61&gt;1</formula>
    </cfRule>
  </conditionalFormatting>
  <conditionalFormatting sqref="B85:D91">
    <cfRule type="expression" dxfId="255" priority="218">
      <formula>$C$61=3</formula>
    </cfRule>
  </conditionalFormatting>
  <conditionalFormatting sqref="B84:D84">
    <cfRule type="expression" dxfId="254" priority="217">
      <formula>$C$61&gt;2</formula>
    </cfRule>
  </conditionalFormatting>
  <conditionalFormatting sqref="B86:D91">
    <cfRule type="expression" dxfId="253" priority="216">
      <formula>$C$61=4</formula>
    </cfRule>
  </conditionalFormatting>
  <conditionalFormatting sqref="B85:D85">
    <cfRule type="expression" dxfId="252" priority="215">
      <formula>$C$61&gt;3</formula>
    </cfRule>
  </conditionalFormatting>
  <conditionalFormatting sqref="B87:D91">
    <cfRule type="expression" dxfId="251" priority="214">
      <formula>$C$61=5</formula>
    </cfRule>
  </conditionalFormatting>
  <conditionalFormatting sqref="B86:D86">
    <cfRule type="expression" dxfId="250" priority="213">
      <formula>$C$61&gt;4</formula>
    </cfRule>
  </conditionalFormatting>
  <conditionalFormatting sqref="B88:D91">
    <cfRule type="expression" dxfId="249" priority="212">
      <formula>$C$61=6</formula>
    </cfRule>
  </conditionalFormatting>
  <conditionalFormatting sqref="B87:D87">
    <cfRule type="expression" dxfId="248" priority="211">
      <formula>$C$61&gt;5</formula>
    </cfRule>
  </conditionalFormatting>
  <conditionalFormatting sqref="B89:D91">
    <cfRule type="expression" dxfId="247" priority="210">
      <formula>$C$61=7</formula>
    </cfRule>
  </conditionalFormatting>
  <conditionalFormatting sqref="B88:D88">
    <cfRule type="expression" dxfId="246" priority="209">
      <formula>$C$61&gt;6</formula>
    </cfRule>
  </conditionalFormatting>
  <conditionalFormatting sqref="B90:D91">
    <cfRule type="expression" dxfId="245" priority="208">
      <formula>$C$61=8</formula>
    </cfRule>
  </conditionalFormatting>
  <conditionalFormatting sqref="B89:D89">
    <cfRule type="expression" dxfId="244" priority="207">
      <formula>$C$61&gt;7</formula>
    </cfRule>
  </conditionalFormatting>
  <conditionalFormatting sqref="B91:D91">
    <cfRule type="expression" dxfId="243" priority="206">
      <formula>$C$61=9</formula>
    </cfRule>
  </conditionalFormatting>
  <conditionalFormatting sqref="B90:D90">
    <cfRule type="expression" dxfId="242" priority="205">
      <formula>$C$61&gt;8</formula>
    </cfRule>
  </conditionalFormatting>
  <conditionalFormatting sqref="C63 C65">
    <cfRule type="expression" dxfId="241" priority="204">
      <formula>OR($C$105=1,AND($C$105=2,$C$108=3),$C$108=3)</formula>
    </cfRule>
  </conditionalFormatting>
  <conditionalFormatting sqref="I70:L78">
    <cfRule type="expression" dxfId="240" priority="201">
      <formula>$L$33=1</formula>
    </cfRule>
  </conditionalFormatting>
  <conditionalFormatting sqref="I69:L69">
    <cfRule type="expression" dxfId="239" priority="200">
      <formula>$L$33&gt;0</formula>
    </cfRule>
  </conditionalFormatting>
  <conditionalFormatting sqref="I71:L78">
    <cfRule type="expression" dxfId="238" priority="199">
      <formula>$L$33=2</formula>
    </cfRule>
  </conditionalFormatting>
  <conditionalFormatting sqref="I70:L70">
    <cfRule type="expression" dxfId="237" priority="198">
      <formula>$L$33&gt;1</formula>
    </cfRule>
  </conditionalFormatting>
  <conditionalFormatting sqref="I72:L78">
    <cfRule type="expression" dxfId="236" priority="197">
      <formula>$L$33=3</formula>
    </cfRule>
  </conditionalFormatting>
  <conditionalFormatting sqref="I71:L71">
    <cfRule type="expression" dxfId="235" priority="196">
      <formula>$L$33&gt;2</formula>
    </cfRule>
  </conditionalFormatting>
  <conditionalFormatting sqref="I73:L78">
    <cfRule type="expression" dxfId="234" priority="195">
      <formula>$L$33=4</formula>
    </cfRule>
  </conditionalFormatting>
  <conditionalFormatting sqref="I72:L72">
    <cfRule type="expression" dxfId="233" priority="194">
      <formula>$L$33&gt;3</formula>
    </cfRule>
  </conditionalFormatting>
  <conditionalFormatting sqref="I74:L78">
    <cfRule type="expression" dxfId="232" priority="193">
      <formula>$L$33=5</formula>
    </cfRule>
  </conditionalFormatting>
  <conditionalFormatting sqref="I73:L73">
    <cfRule type="expression" dxfId="231" priority="192">
      <formula>$L$33&gt;4</formula>
    </cfRule>
  </conditionalFormatting>
  <conditionalFormatting sqref="I75:L78">
    <cfRule type="expression" dxfId="230" priority="191">
      <formula>$L$33=6</formula>
    </cfRule>
  </conditionalFormatting>
  <conditionalFormatting sqref="I74:L74">
    <cfRule type="expression" dxfId="229" priority="190">
      <formula>$L$33&gt;5</formula>
    </cfRule>
  </conditionalFormatting>
  <conditionalFormatting sqref="I76:L78">
    <cfRule type="expression" dxfId="228" priority="189">
      <formula>$L$33=7</formula>
    </cfRule>
  </conditionalFormatting>
  <conditionalFormatting sqref="I75:L75">
    <cfRule type="expression" dxfId="227" priority="188">
      <formula>$L$33&gt;6</formula>
    </cfRule>
  </conditionalFormatting>
  <conditionalFormatting sqref="I77:L78">
    <cfRule type="expression" dxfId="226" priority="187">
      <formula>$L$33=8</formula>
    </cfRule>
  </conditionalFormatting>
  <conditionalFormatting sqref="I76:L76">
    <cfRule type="expression" dxfId="225" priority="186">
      <formula>$L$33&gt;7</formula>
    </cfRule>
  </conditionalFormatting>
  <conditionalFormatting sqref="I78:L78">
    <cfRule type="expression" dxfId="224" priority="185">
      <formula>$L$33=9</formula>
    </cfRule>
  </conditionalFormatting>
  <conditionalFormatting sqref="I77:L77">
    <cfRule type="expression" dxfId="223" priority="184">
      <formula>$L$33&gt;8</formula>
    </cfRule>
  </conditionalFormatting>
  <conditionalFormatting sqref="M70:O78">
    <cfRule type="expression" dxfId="222" priority="173" stopIfTrue="1">
      <formula>$L$33=1</formula>
    </cfRule>
  </conditionalFormatting>
  <conditionalFormatting sqref="M69:O69">
    <cfRule type="expression" dxfId="221" priority="165">
      <formula>$L$33&gt;0</formula>
    </cfRule>
  </conditionalFormatting>
  <conditionalFormatting sqref="M71:O78">
    <cfRule type="expression" dxfId="220" priority="172" stopIfTrue="1">
      <formula>$L$33=2</formula>
    </cfRule>
  </conditionalFormatting>
  <conditionalFormatting sqref="M70:O70">
    <cfRule type="expression" dxfId="219" priority="164">
      <formula>$L$33&gt;1</formula>
    </cfRule>
  </conditionalFormatting>
  <conditionalFormatting sqref="M72:O78">
    <cfRule type="expression" dxfId="218" priority="171" stopIfTrue="1">
      <formula>$L$33=3</formula>
    </cfRule>
  </conditionalFormatting>
  <conditionalFormatting sqref="M71:O71">
    <cfRule type="expression" dxfId="217" priority="163">
      <formula>$L$33&gt;2</formula>
    </cfRule>
  </conditionalFormatting>
  <conditionalFormatting sqref="M73:O78">
    <cfRule type="expression" dxfId="216" priority="170" stopIfTrue="1">
      <formula>$L$33=4</formula>
    </cfRule>
  </conditionalFormatting>
  <conditionalFormatting sqref="M72:O72">
    <cfRule type="expression" dxfId="215" priority="162">
      <formula>$L$33&gt;3</formula>
    </cfRule>
  </conditionalFormatting>
  <conditionalFormatting sqref="M74:O78">
    <cfRule type="expression" dxfId="214" priority="156" stopIfTrue="1">
      <formula>$L$33=5</formula>
    </cfRule>
  </conditionalFormatting>
  <conditionalFormatting sqref="M73:O73">
    <cfRule type="expression" dxfId="213" priority="161">
      <formula>$L$33&gt;4</formula>
    </cfRule>
  </conditionalFormatting>
  <conditionalFormatting sqref="M75:O78">
    <cfRule type="expression" dxfId="212" priority="169" stopIfTrue="1">
      <formula>$L$33=6</formula>
    </cfRule>
  </conditionalFormatting>
  <conditionalFormatting sqref="M74:O74">
    <cfRule type="expression" dxfId="211" priority="160">
      <formula>$L$33&gt;5</formula>
    </cfRule>
  </conditionalFormatting>
  <conditionalFormatting sqref="M76:O78">
    <cfRule type="expression" dxfId="210" priority="168" stopIfTrue="1">
      <formula>$L$33=7</formula>
    </cfRule>
  </conditionalFormatting>
  <conditionalFormatting sqref="M75:O75">
    <cfRule type="expression" dxfId="209" priority="159">
      <formula>$L$33&gt;6</formula>
    </cfRule>
  </conditionalFormatting>
  <conditionalFormatting sqref="M77:O78">
    <cfRule type="expression" dxfId="208" priority="167" stopIfTrue="1">
      <formula>$L$33=8</formula>
    </cfRule>
  </conditionalFormatting>
  <conditionalFormatting sqref="M76:O76">
    <cfRule type="expression" dxfId="207" priority="158">
      <formula>$L$33&gt;7</formula>
    </cfRule>
  </conditionalFormatting>
  <conditionalFormatting sqref="M78:O78">
    <cfRule type="expression" dxfId="206" priority="166" stopIfTrue="1">
      <formula>$L$33=9</formula>
    </cfRule>
  </conditionalFormatting>
  <conditionalFormatting sqref="M77:O77">
    <cfRule type="expression" dxfId="205" priority="157">
      <formula>$L$33&gt;8</formula>
    </cfRule>
  </conditionalFormatting>
  <conditionalFormatting sqref="O69">
    <cfRule type="expression" dxfId="204" priority="182">
      <formula>$M$69="No"</formula>
    </cfRule>
  </conditionalFormatting>
  <conditionalFormatting sqref="O70">
    <cfRule type="expression" dxfId="203" priority="180">
      <formula>$M$70="No"</formula>
    </cfRule>
  </conditionalFormatting>
  <conditionalFormatting sqref="O71">
    <cfRule type="expression" dxfId="202" priority="178">
      <formula>$M$71="No"</formula>
    </cfRule>
  </conditionalFormatting>
  <conditionalFormatting sqref="O72">
    <cfRule type="expression" dxfId="201" priority="176">
      <formula>$M$72="No"</formula>
    </cfRule>
  </conditionalFormatting>
  <conditionalFormatting sqref="O73">
    <cfRule type="expression" dxfId="200" priority="174">
      <formula>$M$73="No"</formula>
    </cfRule>
  </conditionalFormatting>
  <conditionalFormatting sqref="O74">
    <cfRule type="expression" dxfId="199" priority="183">
      <formula>$M$74="No"</formula>
    </cfRule>
  </conditionalFormatting>
  <conditionalFormatting sqref="O75">
    <cfRule type="expression" dxfId="198" priority="181">
      <formula>$M$75="No"</formula>
    </cfRule>
  </conditionalFormatting>
  <conditionalFormatting sqref="O76">
    <cfRule type="expression" dxfId="197" priority="179">
      <formula>$M$76="No"</formula>
    </cfRule>
  </conditionalFormatting>
  <conditionalFormatting sqref="O77">
    <cfRule type="expression" dxfId="196" priority="177">
      <formula>$M$77="No"</formula>
    </cfRule>
  </conditionalFormatting>
  <conditionalFormatting sqref="O78">
    <cfRule type="expression" dxfId="195" priority="175">
      <formula>$M$78="No"</formula>
    </cfRule>
  </conditionalFormatting>
  <conditionalFormatting sqref="I83:L91">
    <cfRule type="expression" dxfId="194" priority="155">
      <formula>$L$64=1</formula>
    </cfRule>
  </conditionalFormatting>
  <conditionalFormatting sqref="I82:L82">
    <cfRule type="expression" dxfId="193" priority="154">
      <formula>$L$64&gt;0</formula>
    </cfRule>
  </conditionalFormatting>
  <conditionalFormatting sqref="I84:L91">
    <cfRule type="expression" dxfId="192" priority="153">
      <formula>$L$64=2</formula>
    </cfRule>
  </conditionalFormatting>
  <conditionalFormatting sqref="I83:L83">
    <cfRule type="expression" dxfId="191" priority="152">
      <formula>$L$64&gt;1</formula>
    </cfRule>
  </conditionalFormatting>
  <conditionalFormatting sqref="I85:L91">
    <cfRule type="expression" dxfId="190" priority="151">
      <formula>$L$64=3</formula>
    </cfRule>
  </conditionalFormatting>
  <conditionalFormatting sqref="I84:L84">
    <cfRule type="expression" dxfId="189" priority="150">
      <formula>$L$64&gt;2</formula>
    </cfRule>
  </conditionalFormatting>
  <conditionalFormatting sqref="I86:L91">
    <cfRule type="expression" dxfId="188" priority="149">
      <formula>$L$64=4</formula>
    </cfRule>
  </conditionalFormatting>
  <conditionalFormatting sqref="I85:L85">
    <cfRule type="expression" dxfId="187" priority="148">
      <formula>$L$64&gt;3</formula>
    </cfRule>
  </conditionalFormatting>
  <conditionalFormatting sqref="I87:L91">
    <cfRule type="expression" dxfId="186" priority="147">
      <formula>$L$64=5</formula>
    </cfRule>
  </conditionalFormatting>
  <conditionalFormatting sqref="I86:L86">
    <cfRule type="expression" dxfId="185" priority="146">
      <formula>$L$64&gt;4</formula>
    </cfRule>
  </conditionalFormatting>
  <conditionalFormatting sqref="I88:L91">
    <cfRule type="expression" dxfId="184" priority="145">
      <formula>$L$64=6</formula>
    </cfRule>
  </conditionalFormatting>
  <conditionalFormatting sqref="I87:L87">
    <cfRule type="expression" dxfId="183" priority="144">
      <formula>$L$64&gt;5</formula>
    </cfRule>
  </conditionalFormatting>
  <conditionalFormatting sqref="I89:L91">
    <cfRule type="expression" dxfId="182" priority="143">
      <formula>$L$64=7</formula>
    </cfRule>
  </conditionalFormatting>
  <conditionalFormatting sqref="I88:L88">
    <cfRule type="expression" dxfId="181" priority="142">
      <formula>$L$64&gt;6</formula>
    </cfRule>
  </conditionalFormatting>
  <conditionalFormatting sqref="I90:L91">
    <cfRule type="expression" dxfId="180" priority="141">
      <formula>$L$64=8</formula>
    </cfRule>
  </conditionalFormatting>
  <conditionalFormatting sqref="I89:L89">
    <cfRule type="expression" dxfId="179" priority="140">
      <formula>$L$64&gt;7</formula>
    </cfRule>
  </conditionalFormatting>
  <conditionalFormatting sqref="I91:L91">
    <cfRule type="expression" dxfId="178" priority="139">
      <formula>$L$64=9</formula>
    </cfRule>
  </conditionalFormatting>
  <conditionalFormatting sqref="I90:L90">
    <cfRule type="expression" dxfId="177" priority="138">
      <formula>$L$64&gt;8</formula>
    </cfRule>
  </conditionalFormatting>
  <conditionalFormatting sqref="C64">
    <cfRule type="expression" dxfId="176" priority="203">
      <formula>$C$98&lt;&gt;2</formula>
    </cfRule>
  </conditionalFormatting>
  <conditionalFormatting sqref="B63:F91 B60:D62">
    <cfRule type="expression" dxfId="175" priority="202" stopIfTrue="1">
      <formula>$C$99=FALSE</formula>
    </cfRule>
  </conditionalFormatting>
  <conditionalFormatting sqref="I63:P92">
    <cfRule type="expression" dxfId="174" priority="72">
      <formula>$C$100=FALSE</formula>
    </cfRule>
  </conditionalFormatting>
  <conditionalFormatting sqref="C33 C35">
    <cfRule type="expression" dxfId="173" priority="136">
      <formula>$C$105=3</formula>
    </cfRule>
  </conditionalFormatting>
  <conditionalFormatting sqref="C34">
    <cfRule type="expression" dxfId="172" priority="288">
      <formula>$C$105=2</formula>
    </cfRule>
  </conditionalFormatting>
  <conditionalFormatting sqref="E25:F26">
    <cfRule type="expression" dxfId="171" priority="134">
      <formula>$C$104=2</formula>
    </cfRule>
  </conditionalFormatting>
  <conditionalFormatting sqref="G25:G26">
    <cfRule type="expression" dxfId="170" priority="133">
      <formula>$C$104=2</formula>
    </cfRule>
  </conditionalFormatting>
  <conditionalFormatting sqref="B37:D48 B67:F78">
    <cfRule type="expression" dxfId="169" priority="296">
      <formula>$C$31=0</formula>
    </cfRule>
  </conditionalFormatting>
  <conditionalFormatting sqref="B40:D48 B70:F78">
    <cfRule type="expression" dxfId="168" priority="297">
      <formula>$C$31=1</formula>
    </cfRule>
  </conditionalFormatting>
  <conditionalFormatting sqref="B69:G69">
    <cfRule type="expression" dxfId="167" priority="298">
      <formula>$C$31&gt;0</formula>
    </cfRule>
  </conditionalFormatting>
  <conditionalFormatting sqref="B41:D48 B71:F78">
    <cfRule type="expression" dxfId="166" priority="299">
      <formula>$C$31=2</formula>
    </cfRule>
  </conditionalFormatting>
  <conditionalFormatting sqref="B40:D40 B70:F70">
    <cfRule type="expression" dxfId="165" priority="300">
      <formula>$C$31&gt;1</formula>
    </cfRule>
  </conditionalFormatting>
  <conditionalFormatting sqref="B42:D48 B72:F78">
    <cfRule type="expression" dxfId="164" priority="301">
      <formula>$C$31=3</formula>
    </cfRule>
  </conditionalFormatting>
  <conditionalFormatting sqref="B41:D41 B71:F71">
    <cfRule type="expression" dxfId="163" priority="302">
      <formula>$C$31&gt;2</formula>
    </cfRule>
  </conditionalFormatting>
  <conditionalFormatting sqref="B43:D48 B73:F78">
    <cfRule type="expression" dxfId="162" priority="303">
      <formula>$C$31=4</formula>
    </cfRule>
  </conditionalFormatting>
  <conditionalFormatting sqref="B42:D42 B72:F72">
    <cfRule type="expression" dxfId="161" priority="304">
      <formula>$C$31&gt;3</formula>
    </cfRule>
  </conditionalFormatting>
  <conditionalFormatting sqref="B44:D48 B74:F78">
    <cfRule type="expression" dxfId="160" priority="305">
      <formula>$C$31=5</formula>
    </cfRule>
  </conditionalFormatting>
  <conditionalFormatting sqref="B43:D43 B73:F73">
    <cfRule type="expression" dxfId="159" priority="306">
      <formula>$C$31&gt;4</formula>
    </cfRule>
  </conditionalFormatting>
  <conditionalFormatting sqref="B45:D48 B75:F78">
    <cfRule type="expression" dxfId="158" priority="307">
      <formula>$C$31=6</formula>
    </cfRule>
  </conditionalFormatting>
  <conditionalFormatting sqref="B44:D44 B74:F74">
    <cfRule type="expression" dxfId="157" priority="308">
      <formula>$C$31&gt;5</formula>
    </cfRule>
  </conditionalFormatting>
  <conditionalFormatting sqref="B46:D48 B76:F78">
    <cfRule type="expression" dxfId="156" priority="309">
      <formula>$C$31=7</formula>
    </cfRule>
  </conditionalFormatting>
  <conditionalFormatting sqref="B45:D45 B75:F75">
    <cfRule type="expression" dxfId="155" priority="310">
      <formula>$C$31&gt;6</formula>
    </cfRule>
  </conditionalFormatting>
  <conditionalFormatting sqref="B47:D48 B77:F78">
    <cfRule type="expression" dxfId="154" priority="311">
      <formula>$C$31=8</formula>
    </cfRule>
  </conditionalFormatting>
  <conditionalFormatting sqref="B46:D46 B76:F76">
    <cfRule type="expression" dxfId="153" priority="312">
      <formula>$C$31&gt;7</formula>
    </cfRule>
  </conditionalFormatting>
  <conditionalFormatting sqref="B48:D48 B78:E78">
    <cfRule type="expression" dxfId="152" priority="313">
      <formula>$C$31=9</formula>
    </cfRule>
  </conditionalFormatting>
  <conditionalFormatting sqref="B47:D47 B77:F77">
    <cfRule type="expression" dxfId="151" priority="314">
      <formula>$C$31&gt;8</formula>
    </cfRule>
  </conditionalFormatting>
  <conditionalFormatting sqref="F69:F78">
    <cfRule type="expression" dxfId="150" priority="315">
      <formula>AND($B69&lt;=$C$31,$E69="No")</formula>
    </cfRule>
    <cfRule type="expression" dxfId="149" priority="316">
      <formula>$C$31&gt;0</formula>
    </cfRule>
  </conditionalFormatting>
  <conditionalFormatting sqref="F78">
    <cfRule type="expression" dxfId="148" priority="317">
      <formula>$C$31&gt;=9</formula>
    </cfRule>
  </conditionalFormatting>
  <conditionalFormatting sqref="E37:E48">
    <cfRule type="expression" dxfId="147" priority="113">
      <formula>$C$105=4</formula>
    </cfRule>
  </conditionalFormatting>
  <conditionalFormatting sqref="E37:E48">
    <cfRule type="expression" dxfId="146" priority="114">
      <formula>$C$31=0</formula>
    </cfRule>
  </conditionalFormatting>
  <conditionalFormatting sqref="E40:E48">
    <cfRule type="expression" dxfId="145" priority="115">
      <formula>$C$31=1</formula>
    </cfRule>
  </conditionalFormatting>
  <conditionalFormatting sqref="E41:E48">
    <cfRule type="expression" dxfId="144" priority="117">
      <formula>$C$31=2</formula>
    </cfRule>
  </conditionalFormatting>
  <conditionalFormatting sqref="E40">
    <cfRule type="expression" dxfId="143" priority="118">
      <formula>$C$31&gt;1</formula>
    </cfRule>
  </conditionalFormatting>
  <conditionalFormatting sqref="E42:E48">
    <cfRule type="expression" dxfId="142" priority="119">
      <formula>$C$31=3</formula>
    </cfRule>
  </conditionalFormatting>
  <conditionalFormatting sqref="E41">
    <cfRule type="expression" dxfId="141" priority="120">
      <formula>$C$31&gt;2</formula>
    </cfRule>
  </conditionalFormatting>
  <conditionalFormatting sqref="E43:E48">
    <cfRule type="expression" dxfId="140" priority="121">
      <formula>$C$31=4</formula>
    </cfRule>
  </conditionalFormatting>
  <conditionalFormatting sqref="E42">
    <cfRule type="expression" dxfId="139" priority="122">
      <formula>$C$31&gt;3</formula>
    </cfRule>
  </conditionalFormatting>
  <conditionalFormatting sqref="E44:E48">
    <cfRule type="expression" dxfId="138" priority="123">
      <formula>$C$31=5</formula>
    </cfRule>
  </conditionalFormatting>
  <conditionalFormatting sqref="E43">
    <cfRule type="expression" dxfId="137" priority="124">
      <formula>$C$31&gt;4</formula>
    </cfRule>
  </conditionalFormatting>
  <conditionalFormatting sqref="E45:E48">
    <cfRule type="expression" dxfId="136" priority="125">
      <formula>$C$31=6</formula>
    </cfRule>
  </conditionalFormatting>
  <conditionalFormatting sqref="E44">
    <cfRule type="expression" dxfId="135" priority="126">
      <formula>$C$31&gt;5</formula>
    </cfRule>
  </conditionalFormatting>
  <conditionalFormatting sqref="E46:E48">
    <cfRule type="expression" dxfId="134" priority="127">
      <formula>$C$31=7</formula>
    </cfRule>
  </conditionalFormatting>
  <conditionalFormatting sqref="E45">
    <cfRule type="expression" dxfId="133" priority="128">
      <formula>$C$31&gt;6</formula>
    </cfRule>
  </conditionalFormatting>
  <conditionalFormatting sqref="E47:E48">
    <cfRule type="expression" dxfId="132" priority="129">
      <formula>$C$31=8</formula>
    </cfRule>
  </conditionalFormatting>
  <conditionalFormatting sqref="E46">
    <cfRule type="expression" dxfId="131" priority="130">
      <formula>$C$31&gt;7</formula>
    </cfRule>
  </conditionalFormatting>
  <conditionalFormatting sqref="E48">
    <cfRule type="expression" dxfId="130" priority="131">
      <formula>$C$31=9</formula>
    </cfRule>
  </conditionalFormatting>
  <conditionalFormatting sqref="E47">
    <cfRule type="expression" dxfId="129" priority="132">
      <formula>$C$31&gt;8</formula>
    </cfRule>
  </conditionalFormatting>
  <conditionalFormatting sqref="M40:N48">
    <cfRule type="expression" dxfId="128" priority="112">
      <formula>$L$33=1</formula>
    </cfRule>
  </conditionalFormatting>
  <conditionalFormatting sqref="M39:N39">
    <cfRule type="expression" dxfId="127" priority="111">
      <formula>$L$33&gt;0</formula>
    </cfRule>
  </conditionalFormatting>
  <conditionalFormatting sqref="M41:N48">
    <cfRule type="expression" dxfId="126" priority="110">
      <formula>$L$33=2</formula>
    </cfRule>
  </conditionalFormatting>
  <conditionalFormatting sqref="M40:N40">
    <cfRule type="expression" dxfId="125" priority="109">
      <formula>$L$33&gt;1</formula>
    </cfRule>
  </conditionalFormatting>
  <conditionalFormatting sqref="M42:N48">
    <cfRule type="expression" dxfId="124" priority="108">
      <formula>$L$33=3</formula>
    </cfRule>
  </conditionalFormatting>
  <conditionalFormatting sqref="M41:N41">
    <cfRule type="expression" dxfId="123" priority="107">
      <formula>$L$33&gt;2</formula>
    </cfRule>
  </conditionalFormatting>
  <conditionalFormatting sqref="M43:N48">
    <cfRule type="expression" dxfId="122" priority="106">
      <formula>$L$33=4</formula>
    </cfRule>
  </conditionalFormatting>
  <conditionalFormatting sqref="M42:N42">
    <cfRule type="expression" dxfId="121" priority="105">
      <formula>$L$33&gt;3</formula>
    </cfRule>
  </conditionalFormatting>
  <conditionalFormatting sqref="M44:N48">
    <cfRule type="expression" dxfId="120" priority="104">
      <formula>$L$33=5</formula>
    </cfRule>
  </conditionalFormatting>
  <conditionalFormatting sqref="M43:N43">
    <cfRule type="expression" dxfId="119" priority="103">
      <formula>$L$33&gt;4</formula>
    </cfRule>
  </conditionalFormatting>
  <conditionalFormatting sqref="M45:N48">
    <cfRule type="expression" dxfId="118" priority="102">
      <formula>$L$33=6</formula>
    </cfRule>
  </conditionalFormatting>
  <conditionalFormatting sqref="M44:N44">
    <cfRule type="expression" dxfId="117" priority="101">
      <formula>$L$33&gt;5</formula>
    </cfRule>
  </conditionalFormatting>
  <conditionalFormatting sqref="M46:N48">
    <cfRule type="expression" dxfId="116" priority="100">
      <formula>$L$33=7</formula>
    </cfRule>
  </conditionalFormatting>
  <conditionalFormatting sqref="M45:N45">
    <cfRule type="expression" dxfId="115" priority="99">
      <formula>$L$33&gt;6</formula>
    </cfRule>
  </conditionalFormatting>
  <conditionalFormatting sqref="M47:N48">
    <cfRule type="expression" dxfId="114" priority="98">
      <formula>$L$33=8</formula>
    </cfRule>
  </conditionalFormatting>
  <conditionalFormatting sqref="M46:N46">
    <cfRule type="expression" dxfId="113" priority="97">
      <formula>$L$33&gt;7</formula>
    </cfRule>
  </conditionalFormatting>
  <conditionalFormatting sqref="M48:N48">
    <cfRule type="expression" dxfId="112" priority="96">
      <formula>$L$33=9</formula>
    </cfRule>
  </conditionalFormatting>
  <conditionalFormatting sqref="M47:N47">
    <cfRule type="expression" dxfId="111" priority="95">
      <formula>$L$33&gt;8</formula>
    </cfRule>
  </conditionalFormatting>
  <conditionalFormatting sqref="M37">
    <cfRule type="expression" dxfId="110" priority="94">
      <formula>$C$106=2</formula>
    </cfRule>
  </conditionalFormatting>
  <conditionalFormatting sqref="E80:E81">
    <cfRule type="expression" dxfId="109" priority="93">
      <formula>$C$61=0</formula>
    </cfRule>
  </conditionalFormatting>
  <conditionalFormatting sqref="E82:E91">
    <cfRule type="expression" dxfId="108" priority="90">
      <formula>$C$61=0</formula>
    </cfRule>
  </conditionalFormatting>
  <conditionalFormatting sqref="E83:E91">
    <cfRule type="expression" dxfId="107" priority="92">
      <formula>$C$61=1</formula>
    </cfRule>
  </conditionalFormatting>
  <conditionalFormatting sqref="E82">
    <cfRule type="expression" dxfId="106" priority="91">
      <formula>$C$61&gt;0</formula>
    </cfRule>
  </conditionalFormatting>
  <conditionalFormatting sqref="E84:E91">
    <cfRule type="expression" dxfId="105" priority="89">
      <formula>$C$61=2</formula>
    </cfRule>
  </conditionalFormatting>
  <conditionalFormatting sqref="E83">
    <cfRule type="expression" dxfId="104" priority="88">
      <formula>$C$61&gt;1</formula>
    </cfRule>
  </conditionalFormatting>
  <conditionalFormatting sqref="E85:E91">
    <cfRule type="expression" dxfId="103" priority="87">
      <formula>$C$61=3</formula>
    </cfRule>
  </conditionalFormatting>
  <conditionalFormatting sqref="E84">
    <cfRule type="expression" dxfId="102" priority="86">
      <formula>$C$61&gt;2</formula>
    </cfRule>
  </conditionalFormatting>
  <conditionalFormatting sqref="E86:E91">
    <cfRule type="expression" dxfId="101" priority="85">
      <formula>$C$61=4</formula>
    </cfRule>
  </conditionalFormatting>
  <conditionalFormatting sqref="E85">
    <cfRule type="expression" dxfId="100" priority="84">
      <formula>$C$61&gt;3</formula>
    </cfRule>
  </conditionalFormatting>
  <conditionalFormatting sqref="E87:E91">
    <cfRule type="expression" dxfId="99" priority="83">
      <formula>$C$61=5</formula>
    </cfRule>
  </conditionalFormatting>
  <conditionalFormatting sqref="E86">
    <cfRule type="expression" dxfId="98" priority="82">
      <formula>$C$61&gt;4</formula>
    </cfRule>
  </conditionalFormatting>
  <conditionalFormatting sqref="E88:E91">
    <cfRule type="expression" dxfId="97" priority="81">
      <formula>$C$61=6</formula>
    </cfRule>
  </conditionalFormatting>
  <conditionalFormatting sqref="E87">
    <cfRule type="expression" dxfId="96" priority="80">
      <formula>$C$61&gt;5</formula>
    </cfRule>
  </conditionalFormatting>
  <conditionalFormatting sqref="E89:E91">
    <cfRule type="expression" dxfId="95" priority="79">
      <formula>$C$61=7</formula>
    </cfRule>
  </conditionalFormatting>
  <conditionalFormatting sqref="E88">
    <cfRule type="expression" dxfId="94" priority="78">
      <formula>$C$61&gt;6</formula>
    </cfRule>
  </conditionalFormatting>
  <conditionalFormatting sqref="E90:E91">
    <cfRule type="expression" dxfId="93" priority="77">
      <formula>$C$61=8</formula>
    </cfRule>
  </conditionalFormatting>
  <conditionalFormatting sqref="E89">
    <cfRule type="expression" dxfId="92" priority="76">
      <formula>$C$61&gt;7</formula>
    </cfRule>
  </conditionalFormatting>
  <conditionalFormatting sqref="E91">
    <cfRule type="expression" dxfId="91" priority="75">
      <formula>$C$61=9</formula>
    </cfRule>
  </conditionalFormatting>
  <conditionalFormatting sqref="E90">
    <cfRule type="expression" dxfId="90" priority="74">
      <formula>$C$61&gt;8</formula>
    </cfRule>
  </conditionalFormatting>
  <conditionalFormatting sqref="M83:N91">
    <cfRule type="expression" dxfId="89" priority="73">
      <formula>$L$64=1</formula>
    </cfRule>
  </conditionalFormatting>
  <conditionalFormatting sqref="M82:N82">
    <cfRule type="expression" dxfId="88" priority="137">
      <formula>$L$64&gt;0</formula>
    </cfRule>
  </conditionalFormatting>
  <conditionalFormatting sqref="M84:N91">
    <cfRule type="expression" dxfId="87" priority="71">
      <formula>$L$64=2</formula>
    </cfRule>
  </conditionalFormatting>
  <conditionalFormatting sqref="M83:N83">
    <cfRule type="expression" dxfId="86" priority="70">
      <formula>$L$64&gt;1</formula>
    </cfRule>
  </conditionalFormatting>
  <conditionalFormatting sqref="M85:N91">
    <cfRule type="expression" dxfId="85" priority="69">
      <formula>$L$64=3</formula>
    </cfRule>
  </conditionalFormatting>
  <conditionalFormatting sqref="M84:N84">
    <cfRule type="expression" dxfId="84" priority="68">
      <formula>$L$64&gt;2</formula>
    </cfRule>
  </conditionalFormatting>
  <conditionalFormatting sqref="M86:N91">
    <cfRule type="expression" dxfId="83" priority="67">
      <formula>$L$64=4</formula>
    </cfRule>
  </conditionalFormatting>
  <conditionalFormatting sqref="M85:N85">
    <cfRule type="expression" dxfId="82" priority="66">
      <formula>$L$64&gt;3</formula>
    </cfRule>
  </conditionalFormatting>
  <conditionalFormatting sqref="M87:N91">
    <cfRule type="expression" dxfId="81" priority="65">
      <formula>$L$64=5</formula>
    </cfRule>
  </conditionalFormatting>
  <conditionalFormatting sqref="M86:N86">
    <cfRule type="expression" dxfId="80" priority="64">
      <formula>$L$64&gt;4</formula>
    </cfRule>
  </conditionalFormatting>
  <conditionalFormatting sqref="M88:N91">
    <cfRule type="expression" dxfId="79" priority="63">
      <formula>$L$64=6</formula>
    </cfRule>
  </conditionalFormatting>
  <conditionalFormatting sqref="M87:N87">
    <cfRule type="expression" dxfId="78" priority="62">
      <formula>$L$64&gt;5</formula>
    </cfRule>
  </conditionalFormatting>
  <conditionalFormatting sqref="M89:N91">
    <cfRule type="expression" dxfId="77" priority="61">
      <formula>$L$64=7</formula>
    </cfRule>
  </conditionalFormatting>
  <conditionalFormatting sqref="M88:N88">
    <cfRule type="expression" dxfId="76" priority="60">
      <formula>$L$64&gt;6</formula>
    </cfRule>
  </conditionalFormatting>
  <conditionalFormatting sqref="M90:N91">
    <cfRule type="expression" dxfId="75" priority="59">
      <formula>$L$64=8</formula>
    </cfRule>
  </conditionalFormatting>
  <conditionalFormatting sqref="M89:N89">
    <cfRule type="expression" dxfId="74" priority="58">
      <formula>$L$64&gt;7</formula>
    </cfRule>
  </conditionalFormatting>
  <conditionalFormatting sqref="M91:N91">
    <cfRule type="expression" dxfId="73" priority="57">
      <formula>$L$64=9</formula>
    </cfRule>
  </conditionalFormatting>
  <conditionalFormatting sqref="M90:N90">
    <cfRule type="expression" dxfId="72" priority="56">
      <formula>$L$64&gt;8</formula>
    </cfRule>
  </conditionalFormatting>
  <conditionalFormatting sqref="G67:G78">
    <cfRule type="expression" dxfId="71" priority="36" stopIfTrue="1">
      <formula>$C$99=FALSE</formula>
    </cfRule>
  </conditionalFormatting>
  <conditionalFormatting sqref="G67:G78">
    <cfRule type="expression" dxfId="70" priority="37">
      <formula>$C$31=0</formula>
    </cfRule>
  </conditionalFormatting>
  <conditionalFormatting sqref="G70:G78">
    <cfRule type="expression" dxfId="69" priority="38">
      <formula>$C$31=1</formula>
    </cfRule>
  </conditionalFormatting>
  <conditionalFormatting sqref="G69">
    <cfRule type="expression" dxfId="68" priority="39">
      <formula>$C$31&gt;0</formula>
    </cfRule>
  </conditionalFormatting>
  <conditionalFormatting sqref="G71:G78">
    <cfRule type="expression" dxfId="67" priority="40">
      <formula>$C$31=2</formula>
    </cfRule>
  </conditionalFormatting>
  <conditionalFormatting sqref="G70">
    <cfRule type="expression" dxfId="66" priority="41">
      <formula>$C$31&gt;1</formula>
    </cfRule>
  </conditionalFormatting>
  <conditionalFormatting sqref="G72:G78">
    <cfRule type="expression" dxfId="65" priority="42">
      <formula>$C$31=3</formula>
    </cfRule>
  </conditionalFormatting>
  <conditionalFormatting sqref="G71">
    <cfRule type="expression" dxfId="64" priority="43">
      <formula>$C$31&gt;2</formula>
    </cfRule>
  </conditionalFormatting>
  <conditionalFormatting sqref="G73:G78">
    <cfRule type="expression" dxfId="63" priority="44">
      <formula>$C$31=4</formula>
    </cfRule>
  </conditionalFormatting>
  <conditionalFormatting sqref="G72">
    <cfRule type="expression" dxfId="62" priority="45">
      <formula>$C$31&gt;3</formula>
    </cfRule>
  </conditionalFormatting>
  <conditionalFormatting sqref="G74:G78">
    <cfRule type="expression" dxfId="61" priority="46">
      <formula>$C$31=5</formula>
    </cfRule>
  </conditionalFormatting>
  <conditionalFormatting sqref="G73">
    <cfRule type="expression" dxfId="60" priority="47">
      <formula>$C$31&gt;4</formula>
    </cfRule>
  </conditionalFormatting>
  <conditionalFormatting sqref="G75:G78">
    <cfRule type="expression" dxfId="59" priority="48">
      <formula>$C$31=6</formula>
    </cfRule>
  </conditionalFormatting>
  <conditionalFormatting sqref="G74">
    <cfRule type="expression" dxfId="58" priority="49">
      <formula>$C$31&gt;5</formula>
    </cfRule>
  </conditionalFormatting>
  <conditionalFormatting sqref="G76:G78">
    <cfRule type="expression" dxfId="57" priority="50">
      <formula>$C$31=7</formula>
    </cfRule>
  </conditionalFormatting>
  <conditionalFormatting sqref="G75">
    <cfRule type="expression" dxfId="56" priority="51">
      <formula>$C$31&gt;6</formula>
    </cfRule>
  </conditionalFormatting>
  <conditionalFormatting sqref="G77:G78">
    <cfRule type="expression" dxfId="55" priority="52">
      <formula>$C$31=8</formula>
    </cfRule>
  </conditionalFormatting>
  <conditionalFormatting sqref="G76">
    <cfRule type="expression" dxfId="54" priority="53">
      <formula>$C$31&gt;7</formula>
    </cfRule>
  </conditionalFormatting>
  <conditionalFormatting sqref="G78">
    <cfRule type="expression" dxfId="53" priority="54">
      <formula>$C$31=9</formula>
    </cfRule>
  </conditionalFormatting>
  <conditionalFormatting sqref="G77">
    <cfRule type="expression" dxfId="52" priority="55">
      <formula>$C$31&gt;8</formula>
    </cfRule>
  </conditionalFormatting>
  <conditionalFormatting sqref="P70:P78">
    <cfRule type="expression" dxfId="51" priority="35">
      <formula>$L$33=1</formula>
    </cfRule>
  </conditionalFormatting>
  <conditionalFormatting sqref="P69">
    <cfRule type="expression" dxfId="50" priority="34">
      <formula>$L$33&gt;0</formula>
    </cfRule>
  </conditionalFormatting>
  <conditionalFormatting sqref="P71:P78">
    <cfRule type="expression" dxfId="49" priority="33">
      <formula>$L$33=2</formula>
    </cfRule>
  </conditionalFormatting>
  <conditionalFormatting sqref="P70">
    <cfRule type="expression" dxfId="48" priority="32">
      <formula>$L$33&gt;1</formula>
    </cfRule>
  </conditionalFormatting>
  <conditionalFormatting sqref="P72:P78">
    <cfRule type="expression" dxfId="47" priority="31">
      <formula>$L$33=3</formula>
    </cfRule>
  </conditionalFormatting>
  <conditionalFormatting sqref="P71">
    <cfRule type="expression" dxfId="46" priority="30">
      <formula>$L$33&gt;2</formula>
    </cfRule>
  </conditionalFormatting>
  <conditionalFormatting sqref="P73:P78">
    <cfRule type="expression" dxfId="45" priority="29">
      <formula>$L$33=4</formula>
    </cfRule>
  </conditionalFormatting>
  <conditionalFormatting sqref="P72">
    <cfRule type="expression" dxfId="44" priority="28">
      <formula>$L$33&gt;3</formula>
    </cfRule>
  </conditionalFormatting>
  <conditionalFormatting sqref="P74:P78">
    <cfRule type="expression" dxfId="43" priority="27">
      <formula>$L$33=5</formula>
    </cfRule>
  </conditionalFormatting>
  <conditionalFormatting sqref="P73">
    <cfRule type="expression" dxfId="42" priority="26">
      <formula>$L$33&gt;4</formula>
    </cfRule>
  </conditionalFormatting>
  <conditionalFormatting sqref="P75:P78">
    <cfRule type="expression" dxfId="41" priority="25">
      <formula>$L$33=6</formula>
    </cfRule>
  </conditionalFormatting>
  <conditionalFormatting sqref="P74">
    <cfRule type="expression" dxfId="40" priority="24">
      <formula>$L$33&gt;5</formula>
    </cfRule>
  </conditionalFormatting>
  <conditionalFormatting sqref="P76:P78">
    <cfRule type="expression" dxfId="39" priority="23">
      <formula>$L$33=7</formula>
    </cfRule>
  </conditionalFormatting>
  <conditionalFormatting sqref="P75">
    <cfRule type="expression" dxfId="38" priority="22">
      <formula>$L$33&gt;6</formula>
    </cfRule>
  </conditionalFormatting>
  <conditionalFormatting sqref="P77:P78">
    <cfRule type="expression" dxfId="37" priority="21">
      <formula>$L$33=8</formula>
    </cfRule>
  </conditionalFormatting>
  <conditionalFormatting sqref="P76">
    <cfRule type="expression" dxfId="36" priority="20">
      <formula>$L$33&gt;7</formula>
    </cfRule>
  </conditionalFormatting>
  <conditionalFormatting sqref="P78">
    <cfRule type="expression" dxfId="35" priority="19">
      <formula>$L$33=9</formula>
    </cfRule>
  </conditionalFormatting>
  <conditionalFormatting sqref="P77">
    <cfRule type="expression" dxfId="34" priority="18">
      <formula>$L$33&gt;8</formula>
    </cfRule>
  </conditionalFormatting>
  <conditionalFormatting sqref="P67:P78">
    <cfRule type="expression" dxfId="33" priority="17">
      <formula>$C$100=FALSE</formula>
    </cfRule>
  </conditionalFormatting>
  <conditionalFormatting sqref="C65">
    <cfRule type="expression" dxfId="32" priority="16">
      <formula>OR($C$105=1,AND($C$105=2,$C$108=3),$C$108=3)</formula>
    </cfRule>
  </conditionalFormatting>
  <conditionalFormatting sqref="I80:N91">
    <cfRule type="expression" dxfId="31" priority="15">
      <formula>$L$64=0</formula>
    </cfRule>
  </conditionalFormatting>
  <conditionalFormatting sqref="I67:P78">
    <cfRule type="expression" dxfId="30" priority="14">
      <formula>$C$106=2</formula>
    </cfRule>
  </conditionalFormatting>
  <conditionalFormatting sqref="B67:G78">
    <cfRule type="expression" dxfId="29" priority="13">
      <formula>$C$105=4</formula>
    </cfRule>
  </conditionalFormatting>
  <conditionalFormatting sqref="G52:H52">
    <cfRule type="expression" dxfId="28" priority="11">
      <formula>$G$52="Retain Lane Width"</formula>
    </cfRule>
    <cfRule type="expression" dxfId="27" priority="12">
      <formula>$G$52="SELECT VALUE"</formula>
    </cfRule>
  </conditionalFormatting>
  <conditionalFormatting sqref="G53:H53">
    <cfRule type="expression" dxfId="26" priority="9">
      <formula>$G$53="Retain Outside Shoulder Width"</formula>
    </cfRule>
    <cfRule type="expression" dxfId="25" priority="10">
      <formula>$G$53="SELECT VALUE"</formula>
    </cfRule>
  </conditionalFormatting>
  <conditionalFormatting sqref="G54:H54">
    <cfRule type="expression" dxfId="24" priority="8">
      <formula>$G$54="Retain Inside Shoulder Width"</formula>
    </cfRule>
  </conditionalFormatting>
  <conditionalFormatting sqref="G55:H55">
    <cfRule type="expression" dxfId="23" priority="6">
      <formula>$G$55="No Change"</formula>
    </cfRule>
    <cfRule type="expression" dxfId="22" priority="7">
      <formula>$G$55="SELECT OPTION"</formula>
    </cfRule>
  </conditionalFormatting>
  <conditionalFormatting sqref="G56:H56">
    <cfRule type="expression" dxfId="21" priority="5">
      <formula>OR($G$56="Retain Existing Outside Barriers",$G$56="No Outside Barriers")</formula>
    </cfRule>
  </conditionalFormatting>
  <conditionalFormatting sqref="G57:H57">
    <cfRule type="expression" dxfId="20" priority="3">
      <formula>$G$57="Not Selected"</formula>
    </cfRule>
    <cfRule type="expression" dxfId="19" priority="4">
      <formula>$G$57="Install"</formula>
    </cfRule>
  </conditionalFormatting>
  <conditionalFormatting sqref="G58:H58">
    <cfRule type="expression" dxfId="18" priority="1">
      <formula>$G$58="Not Selected"</formula>
    </cfRule>
    <cfRule type="expression" dxfId="17" priority="2">
      <formula>$G$58="Install"</formula>
    </cfRule>
  </conditionalFormatting>
  <conditionalFormatting sqref="B39:E39">
    <cfRule type="expression" dxfId="16" priority="336">
      <formula>AND($C$31&gt;0,$C$105&lt;&gt;4)</formula>
    </cfRule>
  </conditionalFormatting>
  <dataValidations count="9">
    <dataValidation type="list" allowBlank="1" showInputMessage="1" showErrorMessage="1" sqref="E69:E78 M69:N78" xr:uid="{00000000-0002-0000-0900-000000000000}">
      <formula1>$B$114:$B$115</formula1>
    </dataValidation>
    <dataValidation type="whole" allowBlank="1" showInputMessage="1" showErrorMessage="1" promptTitle="Number of Curves" prompt="Enter Value 1 to 10" sqref="M15:M17" xr:uid="{00000000-0002-0000-0900-000001000000}">
      <formula1>1</formula1>
      <formula2>10</formula2>
    </dataValidation>
    <dataValidation type="decimal" allowBlank="1" showInputMessage="1" showErrorMessage="1" sqref="C27" xr:uid="{00000000-0002-0000-0900-000002000000}">
      <formula1>0</formula1>
      <formula2>1</formula2>
    </dataValidation>
    <dataValidation type="decimal" allowBlank="1" showInputMessage="1" showErrorMessage="1" promptTitle="Clear Zone Width" prompt="Enter value 0 and 30 ft" sqref="C24" xr:uid="{00000000-0002-0000-0900-000003000000}">
      <formula1>0</formula1>
      <formula2>30</formula2>
    </dataValidation>
    <dataValidation type="decimal" allowBlank="1" showInputMessage="1" showErrorMessage="1" promptTitle="Median Width" prompt="Enter value 9 to 90 ft" sqref="C20:C21" xr:uid="{00000000-0002-0000-0900-000004000000}">
      <formula1>9</formula1>
      <formula2>90</formula2>
    </dataValidation>
    <dataValidation type="whole" allowBlank="1" showInputMessage="1" showErrorMessage="1" promptTitle="Number of Outside Barriers" prompt="Enter value between 1 and 10" sqref="L33" xr:uid="{00000000-0002-0000-0900-000005000000}">
      <formula1>1</formula1>
      <formula2>10</formula2>
    </dataValidation>
    <dataValidation allowBlank="1" showInputMessage="1" showErrorMessage="1" promptTitle="Number of Median Barriers" prompt="Enter value between 0 and 10" sqref="C31:C32" xr:uid="{00000000-0002-0000-0900-000006000000}"/>
    <dataValidation type="decimal" allowBlank="1" showInputMessage="1" showErrorMessage="1" prompt="Distance from edge of traveled way to barrier face" sqref="D39:D48 D82:D91 L82:L91 L39:L48" xr:uid="{00000000-0002-0000-0900-000007000000}">
      <formula1>0.75</formula1>
      <formula2>17</formula2>
    </dataValidation>
    <dataValidation type="whole" allowBlank="1" showInputMessage="1" showErrorMessage="1" prompt="Enter value between 0 and 10" sqref="C61:C62 L64" xr:uid="{00000000-0002-0000-0900-000008000000}">
      <formula1>0</formula1>
      <formula2>10</formula2>
    </dataValidation>
  </dataValidations>
  <pageMargins left="0.7" right="0.7" top="0.75" bottom="0.75" header="0.3" footer="0.3"/>
  <pageSetup scale="2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Drop Down 1">
              <controlPr defaultSize="0" autoLine="0" autoPict="0">
                <anchor moveWithCells="1">
                  <from>
                    <xdr:col>2</xdr:col>
                    <xdr:colOff>38100</xdr:colOff>
                    <xdr:row>6</xdr:row>
                    <xdr:rowOff>19050</xdr:rowOff>
                  </from>
                  <to>
                    <xdr:col>2</xdr:col>
                    <xdr:colOff>1200150</xdr:colOff>
                    <xdr:row>6</xdr:row>
                    <xdr:rowOff>228600</xdr:rowOff>
                  </to>
                </anchor>
              </controlPr>
            </control>
          </mc:Choice>
        </mc:AlternateContent>
        <mc:AlternateContent xmlns:mc="http://schemas.openxmlformats.org/markup-compatibility/2006">
          <mc:Choice Requires="x14">
            <control shapeId="15362" r:id="rId5" name="Drop Down 2">
              <controlPr defaultSize="0" autoLine="0" autoPict="0">
                <anchor moveWithCells="1">
                  <from>
                    <xdr:col>2</xdr:col>
                    <xdr:colOff>38100</xdr:colOff>
                    <xdr:row>7</xdr:row>
                    <xdr:rowOff>19050</xdr:rowOff>
                  </from>
                  <to>
                    <xdr:col>2</xdr:col>
                    <xdr:colOff>1200150</xdr:colOff>
                    <xdr:row>7</xdr:row>
                    <xdr:rowOff>228600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2</xdr:col>
                    <xdr:colOff>485775</xdr:colOff>
                    <xdr:row>51</xdr:row>
                    <xdr:rowOff>38100</xdr:rowOff>
                  </from>
                  <to>
                    <xdr:col>2</xdr:col>
                    <xdr:colOff>790575</xdr:colOff>
                    <xdr:row>51</xdr:row>
                    <xdr:rowOff>314325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2</xdr:col>
                    <xdr:colOff>476250</xdr:colOff>
                    <xdr:row>52</xdr:row>
                    <xdr:rowOff>66675</xdr:rowOff>
                  </from>
                  <to>
                    <xdr:col>2</xdr:col>
                    <xdr:colOff>781050</xdr:colOff>
                    <xdr:row>52</xdr:row>
                    <xdr:rowOff>285750</xdr:rowOff>
                  </to>
                </anchor>
              </controlPr>
            </control>
          </mc:Choice>
        </mc:AlternateContent>
        <mc:AlternateContent xmlns:mc="http://schemas.openxmlformats.org/markup-compatibility/2006">
          <mc:Choice Requires="x14">
            <control shapeId="15365" r:id="rId8" name="Option Button 5">
              <controlPr defaultSize="0" autoFill="0" autoLine="0" autoPict="0">
                <anchor moveWithCells="1">
                  <from>
                    <xdr:col>2</xdr:col>
                    <xdr:colOff>552450</xdr:colOff>
                    <xdr:row>10</xdr:row>
                    <xdr:rowOff>28575</xdr:rowOff>
                  </from>
                  <to>
                    <xdr:col>2</xdr:col>
                    <xdr:colOff>733425</xdr:colOff>
                    <xdr:row>11</xdr:row>
                    <xdr:rowOff>9525</xdr:rowOff>
                  </to>
                </anchor>
              </controlPr>
            </control>
          </mc:Choice>
        </mc:AlternateContent>
        <mc:AlternateContent xmlns:mc="http://schemas.openxmlformats.org/markup-compatibility/2006">
          <mc:Choice Requires="x14">
            <control shapeId="15366" r:id="rId9" name="Option Button 6">
              <controlPr defaultSize="0" autoFill="0" autoLine="0" autoPict="0">
                <anchor moveWithCells="1">
                  <from>
                    <xdr:col>2</xdr:col>
                    <xdr:colOff>561975</xdr:colOff>
                    <xdr:row>10</xdr:row>
                    <xdr:rowOff>238125</xdr:rowOff>
                  </from>
                  <to>
                    <xdr:col>2</xdr:col>
                    <xdr:colOff>752475</xdr:colOff>
                    <xdr:row>11</xdr:row>
                    <xdr:rowOff>209550</xdr:rowOff>
                  </to>
                </anchor>
              </controlPr>
            </control>
          </mc:Choice>
        </mc:AlternateContent>
        <mc:AlternateContent xmlns:mc="http://schemas.openxmlformats.org/markup-compatibility/2006">
          <mc:Choice Requires="x14">
            <control shapeId="15367" r:id="rId10" name="Group Box 7">
              <controlPr defaultSize="0" autoFill="0" autoPict="0">
                <anchor moveWithCells="1">
                  <from>
                    <xdr:col>1</xdr:col>
                    <xdr:colOff>0</xdr:colOff>
                    <xdr:row>10</xdr:row>
                    <xdr:rowOff>0</xdr:rowOff>
                  </from>
                  <to>
                    <xdr:col>2</xdr:col>
                    <xdr:colOff>1238250</xdr:colOff>
                    <xdr:row>12</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xdr:col>
                    <xdr:colOff>476250</xdr:colOff>
                    <xdr:row>54</xdr:row>
                    <xdr:rowOff>66675</xdr:rowOff>
                  </from>
                  <to>
                    <xdr:col>2</xdr:col>
                    <xdr:colOff>752475</xdr:colOff>
                    <xdr:row>54</xdr:row>
                    <xdr:rowOff>295275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xdr:col>
                    <xdr:colOff>476250</xdr:colOff>
                    <xdr:row>55</xdr:row>
                    <xdr:rowOff>66675</xdr:rowOff>
                  </from>
                  <to>
                    <xdr:col>2</xdr:col>
                    <xdr:colOff>685800</xdr:colOff>
                    <xdr:row>55</xdr:row>
                    <xdr:rowOff>285750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2</xdr:col>
                    <xdr:colOff>476250</xdr:colOff>
                    <xdr:row>56</xdr:row>
                    <xdr:rowOff>95250</xdr:rowOff>
                  </from>
                  <to>
                    <xdr:col>2</xdr:col>
                    <xdr:colOff>676275</xdr:colOff>
                    <xdr:row>56</xdr:row>
                    <xdr:rowOff>266700</xdr:rowOff>
                  </to>
                </anchor>
              </controlPr>
            </control>
          </mc:Choice>
        </mc:AlternateContent>
        <mc:AlternateContent xmlns:mc="http://schemas.openxmlformats.org/markup-compatibility/2006">
          <mc:Choice Requires="x14">
            <control shapeId="15371" r:id="rId14" name="Drop Down 11">
              <controlPr defaultSize="0" autoLine="0" autoPict="0">
                <anchor moveWithCells="1">
                  <from>
                    <xdr:col>2</xdr:col>
                    <xdr:colOff>38100</xdr:colOff>
                    <xdr:row>15</xdr:row>
                    <xdr:rowOff>28575</xdr:rowOff>
                  </from>
                  <to>
                    <xdr:col>2</xdr:col>
                    <xdr:colOff>1209675</xdr:colOff>
                    <xdr:row>15</xdr:row>
                    <xdr:rowOff>228600</xdr:rowOff>
                  </to>
                </anchor>
              </controlPr>
            </control>
          </mc:Choice>
        </mc:AlternateContent>
        <mc:AlternateContent xmlns:mc="http://schemas.openxmlformats.org/markup-compatibility/2006">
          <mc:Choice Requires="x14">
            <control shapeId="15372" r:id="rId15" name="Drop Down 12">
              <controlPr defaultSize="0" autoLine="0" autoPict="0">
                <anchor moveWithCells="1">
                  <from>
                    <xdr:col>2</xdr:col>
                    <xdr:colOff>38100</xdr:colOff>
                    <xdr:row>16</xdr:row>
                    <xdr:rowOff>28575</xdr:rowOff>
                  </from>
                  <to>
                    <xdr:col>2</xdr:col>
                    <xdr:colOff>1209675</xdr:colOff>
                    <xdr:row>16</xdr:row>
                    <xdr:rowOff>228600</xdr:rowOff>
                  </to>
                </anchor>
              </controlPr>
            </control>
          </mc:Choice>
        </mc:AlternateContent>
        <mc:AlternateContent xmlns:mc="http://schemas.openxmlformats.org/markup-compatibility/2006">
          <mc:Choice Requires="x14">
            <control shapeId="15373" r:id="rId16" name="Drop Down 13">
              <controlPr defaultSize="0" autoLine="0" autoPict="0">
                <anchor moveWithCells="1">
                  <from>
                    <xdr:col>2</xdr:col>
                    <xdr:colOff>38100</xdr:colOff>
                    <xdr:row>17</xdr:row>
                    <xdr:rowOff>28575</xdr:rowOff>
                  </from>
                  <to>
                    <xdr:col>2</xdr:col>
                    <xdr:colOff>1209675</xdr:colOff>
                    <xdr:row>17</xdr:row>
                    <xdr:rowOff>228600</xdr:rowOff>
                  </to>
                </anchor>
              </controlPr>
            </control>
          </mc:Choice>
        </mc:AlternateContent>
        <mc:AlternateContent xmlns:mc="http://schemas.openxmlformats.org/markup-compatibility/2006">
          <mc:Choice Requires="x14">
            <control shapeId="15374" r:id="rId17" name="Drop Down 14">
              <controlPr defaultSize="0" autoLine="0" autoPict="0">
                <anchor moveWithCells="1">
                  <from>
                    <xdr:col>2</xdr:col>
                    <xdr:colOff>38100</xdr:colOff>
                    <xdr:row>18</xdr:row>
                    <xdr:rowOff>28575</xdr:rowOff>
                  </from>
                  <to>
                    <xdr:col>2</xdr:col>
                    <xdr:colOff>1209675</xdr:colOff>
                    <xdr:row>18</xdr:row>
                    <xdr:rowOff>228600</xdr:rowOff>
                  </to>
                </anchor>
              </controlPr>
            </control>
          </mc:Choice>
        </mc:AlternateContent>
        <mc:AlternateContent xmlns:mc="http://schemas.openxmlformats.org/markup-compatibility/2006">
          <mc:Choice Requires="x14">
            <control shapeId="15375" r:id="rId18" name="Drop Down 15">
              <controlPr defaultSize="0" autoLine="0" autoPict="0">
                <anchor moveWithCells="1">
                  <from>
                    <xdr:col>2</xdr:col>
                    <xdr:colOff>28575</xdr:colOff>
                    <xdr:row>24</xdr:row>
                    <xdr:rowOff>28575</xdr:rowOff>
                  </from>
                  <to>
                    <xdr:col>2</xdr:col>
                    <xdr:colOff>1200150</xdr:colOff>
                    <xdr:row>24</xdr:row>
                    <xdr:rowOff>228600</xdr:rowOff>
                  </to>
                </anchor>
              </controlPr>
            </control>
          </mc:Choice>
        </mc:AlternateContent>
        <mc:AlternateContent xmlns:mc="http://schemas.openxmlformats.org/markup-compatibility/2006">
          <mc:Choice Requires="x14">
            <control shapeId="15376" r:id="rId19" name="Drop Down 16">
              <controlPr defaultSize="0" autoLine="0" autoPict="0">
                <anchor moveWithCells="1">
                  <from>
                    <xdr:col>3</xdr:col>
                    <xdr:colOff>590550</xdr:colOff>
                    <xdr:row>51</xdr:row>
                    <xdr:rowOff>114300</xdr:rowOff>
                  </from>
                  <to>
                    <xdr:col>4</xdr:col>
                    <xdr:colOff>514350</xdr:colOff>
                    <xdr:row>51</xdr:row>
                    <xdr:rowOff>314325</xdr:rowOff>
                  </to>
                </anchor>
              </controlPr>
            </control>
          </mc:Choice>
        </mc:AlternateContent>
        <mc:AlternateContent xmlns:mc="http://schemas.openxmlformats.org/markup-compatibility/2006">
          <mc:Choice Requires="x14">
            <control shapeId="15377" r:id="rId20" name="Drop Down 17">
              <controlPr defaultSize="0" autoLine="0" autoPict="0">
                <anchor moveWithCells="1">
                  <from>
                    <xdr:col>3</xdr:col>
                    <xdr:colOff>590550</xdr:colOff>
                    <xdr:row>52</xdr:row>
                    <xdr:rowOff>85725</xdr:rowOff>
                  </from>
                  <to>
                    <xdr:col>4</xdr:col>
                    <xdr:colOff>504825</xdr:colOff>
                    <xdr:row>52</xdr:row>
                    <xdr:rowOff>285750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2</xdr:col>
                    <xdr:colOff>485775</xdr:colOff>
                    <xdr:row>53</xdr:row>
                    <xdr:rowOff>66675</xdr:rowOff>
                  </from>
                  <to>
                    <xdr:col>2</xdr:col>
                    <xdr:colOff>790575</xdr:colOff>
                    <xdr:row>53</xdr:row>
                    <xdr:rowOff>295275</xdr:rowOff>
                  </to>
                </anchor>
              </controlPr>
            </control>
          </mc:Choice>
        </mc:AlternateContent>
        <mc:AlternateContent xmlns:mc="http://schemas.openxmlformats.org/markup-compatibility/2006">
          <mc:Choice Requires="x14">
            <control shapeId="15379" r:id="rId22" name="Drop Down 19">
              <controlPr defaultSize="0" autoLine="0" autoPict="0">
                <anchor moveWithCells="1">
                  <from>
                    <xdr:col>3</xdr:col>
                    <xdr:colOff>581025</xdr:colOff>
                    <xdr:row>53</xdr:row>
                    <xdr:rowOff>85725</xdr:rowOff>
                  </from>
                  <to>
                    <xdr:col>4</xdr:col>
                    <xdr:colOff>504825</xdr:colOff>
                    <xdr:row>53</xdr:row>
                    <xdr:rowOff>285750</xdr:rowOff>
                  </to>
                </anchor>
              </controlPr>
            </control>
          </mc:Choice>
        </mc:AlternateContent>
        <mc:AlternateContent xmlns:mc="http://schemas.openxmlformats.org/markup-compatibility/2006">
          <mc:Choice Requires="x14">
            <control shapeId="15381" r:id="rId23" name="Group Box 21">
              <controlPr defaultSize="0" autoFill="0" autoPict="0">
                <anchor moveWithCells="1">
                  <from>
                    <xdr:col>6</xdr:col>
                    <xdr:colOff>0</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15382" r:id="rId24" name="Option Button 22">
              <controlPr defaultSize="0" autoFill="0" autoLine="0" autoPict="0">
                <anchor moveWithCells="1">
                  <from>
                    <xdr:col>7</xdr:col>
                    <xdr:colOff>666750</xdr:colOff>
                    <xdr:row>4</xdr:row>
                    <xdr:rowOff>28575</xdr:rowOff>
                  </from>
                  <to>
                    <xdr:col>7</xdr:col>
                    <xdr:colOff>866775</xdr:colOff>
                    <xdr:row>4</xdr:row>
                    <xdr:rowOff>209550</xdr:rowOff>
                  </to>
                </anchor>
              </controlPr>
            </control>
          </mc:Choice>
        </mc:AlternateContent>
        <mc:AlternateContent xmlns:mc="http://schemas.openxmlformats.org/markup-compatibility/2006">
          <mc:Choice Requires="x14">
            <control shapeId="15383" r:id="rId25" name="Option Button 23">
              <controlPr defaultSize="0" autoFill="0" autoLine="0" autoPict="0">
                <anchor moveWithCells="1">
                  <from>
                    <xdr:col>9</xdr:col>
                    <xdr:colOff>504825</xdr:colOff>
                    <xdr:row>4</xdr:row>
                    <xdr:rowOff>38100</xdr:rowOff>
                  </from>
                  <to>
                    <xdr:col>9</xdr:col>
                    <xdr:colOff>695325</xdr:colOff>
                    <xdr:row>4</xdr:row>
                    <xdr:rowOff>209550</xdr:rowOff>
                  </to>
                </anchor>
              </controlPr>
            </control>
          </mc:Choice>
        </mc:AlternateContent>
        <mc:AlternateContent xmlns:mc="http://schemas.openxmlformats.org/markup-compatibility/2006">
          <mc:Choice Requires="x14">
            <control shapeId="15384" r:id="rId26" name="Drop Down 24">
              <controlPr defaultSize="0" autoLine="0" autoPict="0">
                <anchor moveWithCells="1">
                  <from>
                    <xdr:col>2</xdr:col>
                    <xdr:colOff>28575</xdr:colOff>
                    <xdr:row>3</xdr:row>
                    <xdr:rowOff>28575</xdr:rowOff>
                  </from>
                  <to>
                    <xdr:col>2</xdr:col>
                    <xdr:colOff>1200150</xdr:colOff>
                    <xdr:row>3</xdr:row>
                    <xdr:rowOff>228600</xdr:rowOff>
                  </to>
                </anchor>
              </controlPr>
            </control>
          </mc:Choice>
        </mc:AlternateContent>
        <mc:AlternateContent xmlns:mc="http://schemas.openxmlformats.org/markup-compatibility/2006">
          <mc:Choice Requires="x14">
            <control shapeId="15385" r:id="rId27" name="Group Box 25">
              <controlPr defaultSize="0" autoFill="0" autoPict="0">
                <anchor moveWithCells="1">
                  <from>
                    <xdr:col>3</xdr:col>
                    <xdr:colOff>876300</xdr:colOff>
                    <xdr:row>17</xdr:row>
                    <xdr:rowOff>0</xdr:rowOff>
                  </from>
                  <to>
                    <xdr:col>7</xdr:col>
                    <xdr:colOff>0</xdr:colOff>
                    <xdr:row>19</xdr:row>
                    <xdr:rowOff>0</xdr:rowOff>
                  </to>
                </anchor>
              </controlPr>
            </control>
          </mc:Choice>
        </mc:AlternateContent>
        <mc:AlternateContent xmlns:mc="http://schemas.openxmlformats.org/markup-compatibility/2006">
          <mc:Choice Requires="x14">
            <control shapeId="15386" r:id="rId28" name="Option Button 26">
              <controlPr defaultSize="0" autoFill="0" autoLine="0" autoPict="0">
                <anchor moveWithCells="1">
                  <from>
                    <xdr:col>4</xdr:col>
                    <xdr:colOff>809625</xdr:colOff>
                    <xdr:row>18</xdr:row>
                    <xdr:rowOff>9525</xdr:rowOff>
                  </from>
                  <to>
                    <xdr:col>4</xdr:col>
                    <xdr:colOff>1038225</xdr:colOff>
                    <xdr:row>18</xdr:row>
                    <xdr:rowOff>200025</xdr:rowOff>
                  </to>
                </anchor>
              </controlPr>
            </control>
          </mc:Choice>
        </mc:AlternateContent>
        <mc:AlternateContent xmlns:mc="http://schemas.openxmlformats.org/markup-compatibility/2006">
          <mc:Choice Requires="x14">
            <control shapeId="15387" r:id="rId29" name="Option Button 27">
              <controlPr defaultSize="0" autoFill="0" autoLine="0" autoPict="0">
                <anchor moveWithCells="1">
                  <from>
                    <xdr:col>5</xdr:col>
                    <xdr:colOff>1228725</xdr:colOff>
                    <xdr:row>18</xdr:row>
                    <xdr:rowOff>38100</xdr:rowOff>
                  </from>
                  <to>
                    <xdr:col>5</xdr:col>
                    <xdr:colOff>1419225</xdr:colOff>
                    <xdr:row>18</xdr:row>
                    <xdr:rowOff>200025</xdr:rowOff>
                  </to>
                </anchor>
              </controlPr>
            </control>
          </mc:Choice>
        </mc:AlternateContent>
        <mc:AlternateContent xmlns:mc="http://schemas.openxmlformats.org/markup-compatibility/2006">
          <mc:Choice Requires="x14">
            <control shapeId="15388" r:id="rId30" name="Drop Down 28">
              <controlPr defaultSize="0" autoLine="0" autoPict="0">
                <anchor moveWithCells="1">
                  <from>
                    <xdr:col>2</xdr:col>
                    <xdr:colOff>28575</xdr:colOff>
                    <xdr:row>14</xdr:row>
                    <xdr:rowOff>19050</xdr:rowOff>
                  </from>
                  <to>
                    <xdr:col>2</xdr:col>
                    <xdr:colOff>1190625</xdr:colOff>
                    <xdr:row>14</xdr:row>
                    <xdr:rowOff>219075</xdr:rowOff>
                  </to>
                </anchor>
              </controlPr>
            </control>
          </mc:Choice>
        </mc:AlternateContent>
        <mc:AlternateContent xmlns:mc="http://schemas.openxmlformats.org/markup-compatibility/2006">
          <mc:Choice Requires="x14">
            <control shapeId="15389" r:id="rId31" name="Drop Down 29">
              <controlPr defaultSize="0" autoLine="0" autoPict="0">
                <anchor moveWithCells="1">
                  <from>
                    <xdr:col>2</xdr:col>
                    <xdr:colOff>28575</xdr:colOff>
                    <xdr:row>25</xdr:row>
                    <xdr:rowOff>19050</xdr:rowOff>
                  </from>
                  <to>
                    <xdr:col>2</xdr:col>
                    <xdr:colOff>1190625</xdr:colOff>
                    <xdr:row>25</xdr:row>
                    <xdr:rowOff>209550</xdr:rowOff>
                  </to>
                </anchor>
              </controlPr>
            </control>
          </mc:Choice>
        </mc:AlternateContent>
        <mc:AlternateContent xmlns:mc="http://schemas.openxmlformats.org/markup-compatibility/2006">
          <mc:Choice Requires="x14">
            <control shapeId="15390" r:id="rId32" name="Drop Down 30">
              <controlPr defaultSize="0" autoLine="0" autoPict="0">
                <anchor moveWithCells="1">
                  <from>
                    <xdr:col>2</xdr:col>
                    <xdr:colOff>28575</xdr:colOff>
                    <xdr:row>21</xdr:row>
                    <xdr:rowOff>19050</xdr:rowOff>
                  </from>
                  <to>
                    <xdr:col>2</xdr:col>
                    <xdr:colOff>1209675</xdr:colOff>
                    <xdr:row>21</xdr:row>
                    <xdr:rowOff>219075</xdr:rowOff>
                  </to>
                </anchor>
              </controlPr>
            </control>
          </mc:Choice>
        </mc:AlternateContent>
        <mc:AlternateContent xmlns:mc="http://schemas.openxmlformats.org/markup-compatibility/2006">
          <mc:Choice Requires="x14">
            <control shapeId="15391" r:id="rId33" name="Drop Down 31">
              <controlPr defaultSize="0" autoLine="0" autoPict="0">
                <anchor moveWithCells="1">
                  <from>
                    <xdr:col>2</xdr:col>
                    <xdr:colOff>38100</xdr:colOff>
                    <xdr:row>22</xdr:row>
                    <xdr:rowOff>28575</xdr:rowOff>
                  </from>
                  <to>
                    <xdr:col>2</xdr:col>
                    <xdr:colOff>1181100</xdr:colOff>
                    <xdr:row>22</xdr:row>
                    <xdr:rowOff>228600</xdr:rowOff>
                  </to>
                </anchor>
              </controlPr>
            </control>
          </mc:Choice>
        </mc:AlternateContent>
        <mc:AlternateContent xmlns:mc="http://schemas.openxmlformats.org/markup-compatibility/2006">
          <mc:Choice Requires="x14">
            <control shapeId="15393" r:id="rId34" name="Check Box 33">
              <controlPr defaultSize="0" autoFill="0" autoLine="0" autoPict="0">
                <anchor moveWithCells="1">
                  <from>
                    <xdr:col>2</xdr:col>
                    <xdr:colOff>476250</xdr:colOff>
                    <xdr:row>57</xdr:row>
                    <xdr:rowOff>95250</xdr:rowOff>
                  </from>
                  <to>
                    <xdr:col>2</xdr:col>
                    <xdr:colOff>676275</xdr:colOff>
                    <xdr:row>57</xdr:row>
                    <xdr:rowOff>266700</xdr:rowOff>
                  </to>
                </anchor>
              </controlPr>
            </control>
          </mc:Choice>
        </mc:AlternateContent>
        <mc:AlternateContent xmlns:mc="http://schemas.openxmlformats.org/markup-compatibility/2006">
          <mc:Choice Requires="x14">
            <control shapeId="15394" r:id="rId35" name="Drop Down 34">
              <controlPr defaultSize="0" autoLine="0" autoPict="0">
                <anchor moveWithCells="1">
                  <from>
                    <xdr:col>3</xdr:col>
                    <xdr:colOff>47625</xdr:colOff>
                    <xdr:row>54</xdr:row>
                    <xdr:rowOff>95250</xdr:rowOff>
                  </from>
                  <to>
                    <xdr:col>5</xdr:col>
                    <xdr:colOff>1466850</xdr:colOff>
                    <xdr:row>54</xdr:row>
                    <xdr:rowOff>295275</xdr:rowOff>
                  </to>
                </anchor>
              </controlPr>
            </control>
          </mc:Choice>
        </mc:AlternateContent>
        <mc:AlternateContent xmlns:mc="http://schemas.openxmlformats.org/markup-compatibility/2006">
          <mc:Choice Requires="x14">
            <control shapeId="15395" r:id="rId36" name="Drop Down 35">
              <controlPr defaultSize="0" autoLine="0" autoPict="0">
                <anchor moveWithCells="1">
                  <from>
                    <xdr:col>4</xdr:col>
                    <xdr:colOff>590550</xdr:colOff>
                    <xdr:row>51</xdr:row>
                    <xdr:rowOff>114300</xdr:rowOff>
                  </from>
                  <to>
                    <xdr:col>5</xdr:col>
                    <xdr:colOff>1438275</xdr:colOff>
                    <xdr:row>51</xdr:row>
                    <xdr:rowOff>314325</xdr:rowOff>
                  </to>
                </anchor>
              </controlPr>
            </control>
          </mc:Choice>
        </mc:AlternateContent>
        <mc:AlternateContent xmlns:mc="http://schemas.openxmlformats.org/markup-compatibility/2006">
          <mc:Choice Requires="x14">
            <control shapeId="15396" r:id="rId37" name="Drop Down 36">
              <controlPr defaultSize="0" autoLine="0" autoPict="0">
                <anchor moveWithCells="1">
                  <from>
                    <xdr:col>2</xdr:col>
                    <xdr:colOff>28575</xdr:colOff>
                    <xdr:row>20</xdr:row>
                    <xdr:rowOff>19050</xdr:rowOff>
                  </from>
                  <to>
                    <xdr:col>2</xdr:col>
                    <xdr:colOff>1190625</xdr:colOff>
                    <xdr:row>20</xdr:row>
                    <xdr:rowOff>219075</xdr:rowOff>
                  </to>
                </anchor>
              </controlPr>
            </control>
          </mc:Choice>
        </mc:AlternateContent>
        <mc:AlternateContent xmlns:mc="http://schemas.openxmlformats.org/markup-compatibility/2006">
          <mc:Choice Requires="x14">
            <control shapeId="15398" r:id="rId38" name="Check Box 38">
              <controlPr defaultSize="0" autoFill="0" autoLine="0" autoPict="0">
                <anchor moveWithCells="1">
                  <from>
                    <xdr:col>4</xdr:col>
                    <xdr:colOff>428625</xdr:colOff>
                    <xdr:row>60</xdr:row>
                    <xdr:rowOff>95250</xdr:rowOff>
                  </from>
                  <to>
                    <xdr:col>4</xdr:col>
                    <xdr:colOff>638175</xdr:colOff>
                    <xdr:row>61</xdr:row>
                    <xdr:rowOff>104775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92" id="{34800FCC-C3B0-4EC6-909F-1450B2B495DD}">
            <xm:f>FWY_Ref!#REF!=1</xm:f>
            <x14:dxf>
              <font>
                <color theme="0"/>
              </font>
              <fill>
                <patternFill patternType="solid">
                  <bgColor theme="0"/>
                </patternFill>
              </fill>
              <border>
                <top style="thin">
                  <color auto="1"/>
                </top>
                <vertical/>
                <horizontal/>
              </border>
            </x14:dxf>
          </x14:cfRule>
          <xm:sqref>F39:F44</xm:sqref>
        </x14:conditionalFormatting>
        <x14:conditionalFormatting xmlns:xm="http://schemas.microsoft.com/office/excel/2006/main">
          <x14:cfRule type="expression" priority="291" id="{00C159FE-B01E-4EC8-A22C-AA4E15B08AFF}">
            <xm:f>FWY_Ref!#REF!=1</xm:f>
            <x14:dxf>
              <border>
                <bottom style="thin">
                  <color auto="1"/>
                </bottom>
                <vertical/>
                <horizontal/>
              </border>
            </x14:dxf>
          </x14:cfRule>
          <xm:sqref>B57</xm:sqref>
        </x14:conditionalFormatting>
        <x14:conditionalFormatting xmlns:xm="http://schemas.microsoft.com/office/excel/2006/main">
          <x14:cfRule type="expression" priority="290" id="{FDCC8E0F-290C-443E-A499-B8B9F8B8BFB0}">
            <xm:f>FWY_Ref!#REF!=1</xm:f>
            <x14:dxf>
              <border>
                <bottom style="thin">
                  <color auto="1"/>
                </bottom>
                <vertical/>
                <horizontal/>
              </border>
            </x14:dxf>
          </x14:cfRule>
          <xm:sqref>C57:D57</xm:sqref>
        </x14:conditionalFormatting>
        <x14:conditionalFormatting xmlns:xm="http://schemas.microsoft.com/office/excel/2006/main">
          <x14:cfRule type="expression" priority="227" id="{971CFE87-570B-47AF-B7F1-D3358166CCCE}">
            <xm:f>FWY_Ref!#REF!=1</xm:f>
            <x14:dxf>
              <border>
                <bottom style="thin">
                  <color auto="1"/>
                </bottom>
                <vertical/>
                <horizontal/>
              </border>
            </x14:dxf>
          </x14:cfRule>
          <xm:sqref>B58</xm:sqref>
        </x14:conditionalFormatting>
        <x14:conditionalFormatting xmlns:xm="http://schemas.microsoft.com/office/excel/2006/main">
          <x14:cfRule type="expression" priority="226" id="{4F770BB3-4875-438E-B823-AB7445FD0371}">
            <xm:f>FWY_Ref!#REF!=1</xm:f>
            <x14:dxf>
              <border>
                <bottom style="thin">
                  <color auto="1"/>
                </bottom>
                <vertical/>
                <horizontal/>
              </border>
            </x14:dxf>
          </x14:cfRule>
          <xm:sqref>C58</xm:sqref>
        </x14:conditionalFormatting>
        <x14:conditionalFormatting xmlns:xm="http://schemas.microsoft.com/office/excel/2006/main">
          <x14:cfRule type="expression" priority="225" id="{6A10FC83-AD0D-4161-B036-937C59C2B71B}">
            <xm:f>FWY_Ref!#REF!=1</xm:f>
            <x14:dxf>
              <border>
                <bottom style="thin">
                  <color auto="1"/>
                </bottom>
                <vertical/>
                <horizontal/>
              </border>
            </x14:dxf>
          </x14:cfRule>
          <xm:sqref>D58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9000000}">
          <x14:formula1>
            <xm:f>FWY_Ref!$J$127:$J$129</xm:f>
          </x14:formula1>
          <xm:sqref>M82:N91 M39:N48</xm:sqref>
        </x14:dataValidation>
        <x14:dataValidation type="list" allowBlank="1" showInputMessage="1" showErrorMessage="1" xr:uid="{00000000-0002-0000-0900-00000A000000}">
          <x14:formula1>
            <xm:f>FWY_Ref!$I$127:$I$129</xm:f>
          </x14:formula1>
          <xm:sqref>C35 E39:E48 E82:E91</xm:sqref>
        </x14:dataValidation>
        <x14:dataValidation type="list" allowBlank="1" showInputMessage="1" showErrorMessage="1" xr:uid="{00000000-0002-0000-0900-00000B000000}">
          <x14:formula1>
            <xm:f>FWY_Ref!#REF!</xm:f>
          </x14:formula1>
          <xm:sqref>G16</xm:sqref>
        </x14:dataValidation>
        <x14:dataValidation type="list" allowBlank="1" showInputMessage="1" showErrorMessage="1" xr:uid="{00000000-0002-0000-0900-00000C000000}">
          <x14:formula1>
            <xm:f>FWY_Ref!$I$122:$I$124</xm:f>
          </x14:formula1>
          <xm:sqref>C65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2:N201"/>
  <sheetViews>
    <sheetView showGridLines="0" zoomScaleNormal="100" workbookViewId="0"/>
  </sheetViews>
  <sheetFormatPr defaultRowHeight="15" x14ac:dyDescent="0.25"/>
  <cols>
    <col min="2" max="2" width="21.140625" customWidth="1"/>
    <col min="3" max="3" width="26.42578125" customWidth="1"/>
    <col min="4" max="4" width="14.7109375" customWidth="1"/>
    <col min="5" max="5" width="14.42578125" customWidth="1"/>
    <col min="6" max="6" width="13.28515625" customWidth="1"/>
    <col min="8" max="8" width="14.7109375" customWidth="1"/>
    <col min="9" max="9" width="11.7109375" customWidth="1"/>
  </cols>
  <sheetData>
    <row r="2" spans="1:7" ht="15.75" thickBot="1" x14ac:dyDescent="0.3">
      <c r="D2" s="602"/>
      <c r="E2" s="603"/>
      <c r="F2" s="376"/>
    </row>
    <row r="3" spans="1:7" ht="16.5" thickTop="1" thickBot="1" x14ac:dyDescent="0.3">
      <c r="A3" s="207"/>
      <c r="B3" s="734" t="s">
        <v>0</v>
      </c>
      <c r="C3" s="745"/>
      <c r="D3" s="301" t="s">
        <v>6</v>
      </c>
      <c r="E3" s="302" t="s">
        <v>7</v>
      </c>
      <c r="F3" s="303" t="s">
        <v>8</v>
      </c>
      <c r="G3" s="207"/>
    </row>
    <row r="4" spans="1:7" ht="5.0999999999999996" customHeight="1" thickTop="1" thickBot="1" x14ac:dyDescent="0.3">
      <c r="A4" s="249"/>
      <c r="B4" s="671"/>
      <c r="C4" s="672"/>
      <c r="D4" s="210"/>
      <c r="E4" s="213"/>
      <c r="F4" s="252"/>
      <c r="G4" s="207"/>
    </row>
    <row r="5" spans="1:7" ht="20.100000000000001" customHeight="1" thickTop="1" x14ac:dyDescent="0.25">
      <c r="A5" s="249"/>
      <c r="B5" s="660" t="s">
        <v>1</v>
      </c>
      <c r="C5" s="149" t="s">
        <v>3</v>
      </c>
      <c r="D5" s="239">
        <v>2.5</v>
      </c>
      <c r="E5" s="242"/>
      <c r="F5" s="132">
        <f>IF(FWY_Ref!$F$31=1,FWY_Setup!D5,IF(FWY_Ref!$F$31=2,IF(E5&lt;&gt;"",FWY_Setup!E5,D5),"SELECT VALUE"))</f>
        <v>2.5</v>
      </c>
      <c r="G5" s="207"/>
    </row>
    <row r="6" spans="1:7" ht="20.100000000000001" customHeight="1" x14ac:dyDescent="0.25">
      <c r="A6" s="249"/>
      <c r="B6" s="660"/>
      <c r="C6" s="149" t="s">
        <v>4</v>
      </c>
      <c r="D6" s="240">
        <v>3</v>
      </c>
      <c r="E6" s="243"/>
      <c r="F6" s="132">
        <f>IF(FWY_Ref!$G$31=1,FWY_Setup!D6,IF(FWY_Ref!$G$31=2,IF(E6&lt;&gt;"",FWY_Setup!E6,D6),"SELECT VALUE"))</f>
        <v>3</v>
      </c>
      <c r="G6" s="207"/>
    </row>
    <row r="7" spans="1:7" ht="20.100000000000001" customHeight="1" thickBot="1" x14ac:dyDescent="0.3">
      <c r="A7" s="249"/>
      <c r="B7" s="661"/>
      <c r="C7" s="150" t="s">
        <v>5</v>
      </c>
      <c r="D7" s="241">
        <v>4.5</v>
      </c>
      <c r="E7" s="244"/>
      <c r="F7" s="133">
        <f>IF(FWY_Ref!$H$31=1,FWY_Setup!D7,IF(FWY_Ref!$H$31=2,IF(E7&lt;&gt;"",FWY_Setup!E7,D7),"SELECT VALUE"))</f>
        <v>4.5</v>
      </c>
      <c r="G7" s="207"/>
    </row>
    <row r="8" spans="1:7" ht="5.0999999999999996" customHeight="1" thickTop="1" thickBot="1" x14ac:dyDescent="0.3">
      <c r="A8" s="7"/>
      <c r="B8" s="233"/>
      <c r="C8" s="153"/>
      <c r="D8" s="154"/>
      <c r="E8" s="155"/>
      <c r="F8" s="154"/>
      <c r="G8" s="251"/>
    </row>
    <row r="9" spans="1:7" ht="20.100000000000001" customHeight="1" thickTop="1" x14ac:dyDescent="0.25">
      <c r="A9" s="249"/>
      <c r="B9" s="662" t="s">
        <v>227</v>
      </c>
      <c r="C9" s="151" t="s">
        <v>205</v>
      </c>
      <c r="D9" s="30">
        <v>8</v>
      </c>
      <c r="E9" s="90"/>
      <c r="F9" s="134">
        <f>IF(FWY_Ref!E32=1,FWY_Setup!D9,IF(FWY_Ref!E32=2,IF(E9&lt;&gt;"",FWY_Setup!E9,D9),"SELECT VALUE"))</f>
        <v>8</v>
      </c>
      <c r="G9" s="207"/>
    </row>
    <row r="10" spans="1:7" ht="20.100000000000001" customHeight="1" thickBot="1" x14ac:dyDescent="0.3">
      <c r="A10" s="249"/>
      <c r="B10" s="663"/>
      <c r="C10" s="150" t="s">
        <v>11</v>
      </c>
      <c r="D10" s="31">
        <v>8</v>
      </c>
      <c r="E10" s="91"/>
      <c r="F10" s="135">
        <f>IF(FWY_Ref!E33=1,FWY_Setup!D10,IF(FWY_Ref!E33=2,IF(E10&lt;&gt;"",FWY_Setup!E10,D10),"SELECT VALUE"))</f>
        <v>8</v>
      </c>
      <c r="G10" s="207"/>
    </row>
    <row r="11" spans="1:7" ht="5.0999999999999996" customHeight="1" thickTop="1" thickBot="1" x14ac:dyDescent="0.3">
      <c r="A11" s="7"/>
      <c r="B11" s="234"/>
      <c r="C11" s="153"/>
      <c r="D11" s="157"/>
      <c r="E11" s="158"/>
      <c r="F11" s="157"/>
      <c r="G11" s="251"/>
    </row>
    <row r="12" spans="1:7" ht="20.100000000000001" customHeight="1" thickTop="1" thickBot="1" x14ac:dyDescent="0.3">
      <c r="A12" s="249"/>
      <c r="B12" s="664" t="s">
        <v>12</v>
      </c>
      <c r="C12" s="151" t="s">
        <v>205</v>
      </c>
      <c r="D12" s="30">
        <v>2</v>
      </c>
      <c r="E12" s="90"/>
      <c r="F12" s="134">
        <f>IF(FWY_Ref!E34=1,FWY_Setup!D12,IF(FWY_Ref!E34=2,IF(E12&lt;&gt;"",FWY_Setup!E12,D12),"SELECT VALUE"))</f>
        <v>2</v>
      </c>
      <c r="G12" s="207"/>
    </row>
    <row r="13" spans="1:7" ht="20.100000000000001" customHeight="1" thickBot="1" x14ac:dyDescent="0.3">
      <c r="A13" s="249"/>
      <c r="B13" s="661"/>
      <c r="C13" s="150" t="s">
        <v>11</v>
      </c>
      <c r="D13" s="31">
        <v>2</v>
      </c>
      <c r="E13" s="91"/>
      <c r="F13" s="136">
        <f>IF(FWY_Ref!E35=1,FWY_Setup!D13,IF(FWY_Ref!E35=2,IF(E13&lt;&gt;"",FWY_Setup!E13,D13),"SELECT VALUE"))</f>
        <v>2</v>
      </c>
      <c r="G13" s="207"/>
    </row>
    <row r="14" spans="1:7" ht="5.0999999999999996" customHeight="1" thickTop="1" thickBot="1" x14ac:dyDescent="0.3">
      <c r="A14" s="7"/>
      <c r="B14" s="233"/>
      <c r="C14" s="153"/>
      <c r="D14" s="157"/>
      <c r="E14" s="158"/>
      <c r="F14" s="236"/>
      <c r="G14" s="7"/>
    </row>
    <row r="15" spans="1:7" ht="20.100000000000001" customHeight="1" thickTop="1" thickBot="1" x14ac:dyDescent="0.3">
      <c r="A15" s="249"/>
      <c r="B15" s="664" t="s">
        <v>13</v>
      </c>
      <c r="C15" s="151" t="s">
        <v>205</v>
      </c>
      <c r="D15" s="30">
        <v>5</v>
      </c>
      <c r="E15" s="90"/>
      <c r="F15" s="134">
        <f>IF(FWY_Ref!E36=1,FWY_Setup!D15,IF(FWY_Ref!E36=2,IF(E15&lt;&gt;"",FWY_Setup!E15,D15),"SELECT VALUE"))</f>
        <v>5</v>
      </c>
      <c r="G15" s="207"/>
    </row>
    <row r="16" spans="1:7" ht="20.100000000000001" customHeight="1" thickBot="1" x14ac:dyDescent="0.3">
      <c r="A16" s="249"/>
      <c r="B16" s="661"/>
      <c r="C16" s="150" t="s">
        <v>11</v>
      </c>
      <c r="D16" s="31">
        <v>5</v>
      </c>
      <c r="E16" s="91"/>
      <c r="F16" s="136">
        <f>IF(FWY_Ref!E37=1,FWY_Setup!D16,IF(FWY_Ref!E37=2,IF(E16&lt;&gt;"",FWY_Setup!E16,D16),"SELECT VALUE"))</f>
        <v>5</v>
      </c>
      <c r="G16" s="207"/>
    </row>
    <row r="17" spans="1:7" ht="15.75" thickTop="1" x14ac:dyDescent="0.25">
      <c r="A17" s="207"/>
      <c r="B17" s="7"/>
      <c r="C17" s="207"/>
      <c r="D17" s="207"/>
      <c r="E17" s="250"/>
      <c r="F17" s="207"/>
      <c r="G17" s="207"/>
    </row>
    <row r="18" spans="1:7" ht="15.75" thickBot="1" x14ac:dyDescent="0.3">
      <c r="B18" s="376"/>
      <c r="E18" s="376"/>
    </row>
    <row r="19" spans="1:7" ht="16.5" thickTop="1" thickBot="1" x14ac:dyDescent="0.3">
      <c r="A19" s="207"/>
      <c r="B19" s="734" t="s">
        <v>14</v>
      </c>
      <c r="C19" s="735"/>
      <c r="D19" s="301" t="s">
        <v>6</v>
      </c>
      <c r="E19" s="304" t="s">
        <v>7</v>
      </c>
      <c r="F19" s="303" t="s">
        <v>8</v>
      </c>
      <c r="G19" s="207"/>
    </row>
    <row r="20" spans="1:7" ht="5.0999999999999996" customHeight="1" thickTop="1" thickBot="1" x14ac:dyDescent="0.3">
      <c r="A20" s="7"/>
      <c r="B20" s="671"/>
      <c r="C20" s="672"/>
      <c r="D20" s="210"/>
      <c r="E20" s="210"/>
      <c r="F20" s="252"/>
      <c r="G20" s="207"/>
    </row>
    <row r="21" spans="1:7" ht="20.100000000000001" customHeight="1" thickTop="1" thickBot="1" x14ac:dyDescent="0.3">
      <c r="A21" s="7"/>
      <c r="B21" s="35" t="s">
        <v>15</v>
      </c>
      <c r="C21" s="181" t="s">
        <v>26</v>
      </c>
      <c r="D21" s="66">
        <v>10</v>
      </c>
      <c r="E21" s="148"/>
      <c r="F21" s="139">
        <f>IF(FWY_Ref!E41=1,FWY_Setup!D21,IF(FWY_Ref!E41=2,IF(E21&lt;&gt;"",FWY_Setup!E21,D21),"SELECT VALUE"))</f>
        <v>10</v>
      </c>
      <c r="G21" s="7"/>
    </row>
    <row r="22" spans="1:7" ht="5.0999999999999996" customHeight="1" thickTop="1" thickBot="1" x14ac:dyDescent="0.3">
      <c r="A22" s="7"/>
      <c r="B22" s="253"/>
      <c r="C22" s="162"/>
      <c r="D22" s="163"/>
      <c r="E22" s="164"/>
      <c r="F22" s="163"/>
      <c r="G22" s="251"/>
    </row>
    <row r="23" spans="1:7" ht="20.100000000000001" customHeight="1" thickTop="1" thickBot="1" x14ac:dyDescent="0.3">
      <c r="A23" s="7"/>
      <c r="B23" s="35" t="s">
        <v>16</v>
      </c>
      <c r="C23" s="182" t="s">
        <v>27</v>
      </c>
      <c r="D23" s="65">
        <v>2</v>
      </c>
      <c r="E23" s="148"/>
      <c r="F23" s="139">
        <f>IF(FWY_Ref!E42=1,FWY_Setup!D23,IF(FWY_Ref!E42=2,IF(E23&lt;&gt;"",FWY_Setup!E23,D23),"SELECT VALUE"))</f>
        <v>2</v>
      </c>
      <c r="G23" s="207"/>
    </row>
    <row r="24" spans="1:7" ht="5.0999999999999996" customHeight="1" thickTop="1" thickBot="1" x14ac:dyDescent="0.3">
      <c r="A24" s="7"/>
      <c r="B24" s="234"/>
      <c r="C24" s="165"/>
      <c r="D24" s="163"/>
      <c r="E24" s="164"/>
      <c r="F24" s="254"/>
      <c r="G24" s="7"/>
    </row>
    <row r="25" spans="1:7" ht="31.5" thickTop="1" thickBot="1" x14ac:dyDescent="0.3">
      <c r="A25" s="7"/>
      <c r="B25" s="105" t="s">
        <v>17</v>
      </c>
      <c r="C25" s="183" t="s">
        <v>26</v>
      </c>
      <c r="D25" s="66">
        <v>55</v>
      </c>
      <c r="E25" s="148"/>
      <c r="F25" s="139">
        <f>IF(FWY_Ref!E43=1,FWY_Setup!D25,IF(FWY_Ref!E43=2,IF(E25&lt;&gt;"",FWY_Setup!E25,D25),"SELECT VALUE"))</f>
        <v>55</v>
      </c>
      <c r="G25" s="207"/>
    </row>
    <row r="26" spans="1:7" ht="5.0999999999999996" customHeight="1" thickTop="1" thickBot="1" x14ac:dyDescent="0.3">
      <c r="A26" s="7"/>
      <c r="B26" s="233"/>
      <c r="C26" s="166"/>
      <c r="D26" s="167"/>
      <c r="E26" s="168"/>
      <c r="F26" s="254"/>
      <c r="G26" s="7"/>
    </row>
    <row r="27" spans="1:7" ht="31.5" thickTop="1" thickBot="1" x14ac:dyDescent="0.3">
      <c r="A27" s="249"/>
      <c r="B27" s="34" t="s">
        <v>18</v>
      </c>
      <c r="C27" s="183" t="s">
        <v>27</v>
      </c>
      <c r="D27" s="66">
        <v>40</v>
      </c>
      <c r="E27" s="92"/>
      <c r="F27" s="140">
        <f>IF(FWY_Ref!E44=1,FWY_Setup!D27,IF(FWY_Ref!E44=2,IF(E27&lt;&gt;"",FWY_Setup!E27,D27),"SELECT VALUE"))</f>
        <v>40</v>
      </c>
      <c r="G27" s="207"/>
    </row>
    <row r="28" spans="1:7" ht="5.0999999999999996" customHeight="1" thickTop="1" thickBot="1" x14ac:dyDescent="0.3">
      <c r="A28" s="7"/>
      <c r="B28" s="233"/>
      <c r="C28" s="169"/>
      <c r="D28" s="170"/>
      <c r="E28" s="171"/>
      <c r="F28" s="254"/>
      <c r="G28" s="207"/>
    </row>
    <row r="29" spans="1:7" ht="20.100000000000001" customHeight="1" thickTop="1" thickBot="1" x14ac:dyDescent="0.3">
      <c r="A29" s="249"/>
      <c r="B29" s="33" t="s">
        <v>20</v>
      </c>
      <c r="C29" s="183" t="s">
        <v>26</v>
      </c>
      <c r="D29" s="66">
        <v>8</v>
      </c>
      <c r="E29" s="92"/>
      <c r="F29" s="140">
        <f>IF(FWY_Ref!E46=1,FWY_Setup!D29,IF(FWY_Ref!E46=2,IF(E29&lt;&gt;"",FWY_Setup!E29,D29),"SELECT VALUE"))</f>
        <v>8</v>
      </c>
      <c r="G29" s="207"/>
    </row>
    <row r="30" spans="1:7" ht="5.0999999999999996" customHeight="1" thickTop="1" thickBot="1" x14ac:dyDescent="0.3">
      <c r="A30" s="249"/>
      <c r="B30" s="156"/>
      <c r="C30" s="169"/>
      <c r="D30" s="170"/>
      <c r="E30" s="171"/>
      <c r="F30" s="170"/>
      <c r="G30" s="251"/>
    </row>
    <row r="31" spans="1:7" ht="20.100000000000001" customHeight="1" thickTop="1" x14ac:dyDescent="0.25">
      <c r="A31" s="249"/>
      <c r="B31" s="842" t="s">
        <v>495</v>
      </c>
      <c r="C31" s="184" t="s">
        <v>489</v>
      </c>
      <c r="D31" s="471">
        <v>25000</v>
      </c>
      <c r="E31" s="470"/>
      <c r="F31" s="463">
        <f>IF(FWY_Ref!K41=1,FWY_Setup!D31,IF(FWY_Ref!K41=2,IF(E31&lt;&gt;"",FWY_Setup!E31,D31),"SELECT VALUE"))</f>
        <v>25000</v>
      </c>
      <c r="G31" s="207"/>
    </row>
    <row r="32" spans="1:7" ht="20.100000000000001" customHeight="1" x14ac:dyDescent="0.25">
      <c r="A32" s="7"/>
      <c r="B32" s="843"/>
      <c r="C32" s="187" t="s">
        <v>488</v>
      </c>
      <c r="D32" s="467">
        <v>50000</v>
      </c>
      <c r="E32" s="466"/>
      <c r="F32" s="463">
        <f>IF(FWY_Ref!K42=1,FWY_Setup!D32,IF(FWY_Ref!K42=2,IF(E32&lt;&gt;"",FWY_Setup!E32,D32),"SELECT VALUE"))</f>
        <v>50000</v>
      </c>
      <c r="G32" s="207"/>
    </row>
    <row r="33" spans="1:7" ht="20.100000000000001" customHeight="1" x14ac:dyDescent="0.25">
      <c r="A33" s="7"/>
      <c r="B33" s="843"/>
      <c r="C33" s="469" t="s">
        <v>487</v>
      </c>
      <c r="D33" s="467">
        <v>50000</v>
      </c>
      <c r="E33" s="466"/>
      <c r="F33" s="463">
        <f>IF(FWY_Ref!K43=1,FWY_Setup!D33,IF(FWY_Ref!K43=2,IF(E33&lt;&gt;"",FWY_Setup!E33,D33),"SELECT VALUE"))</f>
        <v>50000</v>
      </c>
      <c r="G33" s="207"/>
    </row>
    <row r="34" spans="1:7" ht="20.100000000000001" customHeight="1" x14ac:dyDescent="0.25">
      <c r="A34" s="7"/>
      <c r="B34" s="843"/>
      <c r="C34" s="468" t="s">
        <v>486</v>
      </c>
      <c r="D34" s="467">
        <v>100000</v>
      </c>
      <c r="E34" s="466"/>
      <c r="F34" s="463">
        <f>IF(FWY_Ref!K44=1,FWY_Setup!D34,IF(FWY_Ref!K44=2,IF(E34&lt;&gt;"",FWY_Setup!E34,D34),"SELECT VALUE"))</f>
        <v>100000</v>
      </c>
      <c r="G34" s="207"/>
    </row>
    <row r="35" spans="1:7" ht="20.100000000000001" customHeight="1" x14ac:dyDescent="0.25">
      <c r="A35" s="7"/>
      <c r="B35" s="843"/>
      <c r="C35" s="468" t="s">
        <v>485</v>
      </c>
      <c r="D35" s="467">
        <v>250000</v>
      </c>
      <c r="E35" s="466"/>
      <c r="F35" s="463">
        <f>IF(FWY_Ref!K45=1,FWY_Setup!D35,IF(FWY_Ref!K45=2,IF(E35&lt;&gt;"",FWY_Setup!E35,D35),"SELECT VALUE"))</f>
        <v>250000</v>
      </c>
      <c r="G35" s="207"/>
    </row>
    <row r="36" spans="1:7" ht="20.100000000000001" customHeight="1" x14ac:dyDescent="0.25">
      <c r="A36" s="7"/>
      <c r="B36" s="843"/>
      <c r="C36" s="468" t="s">
        <v>484</v>
      </c>
      <c r="D36" s="467">
        <v>500000</v>
      </c>
      <c r="E36" s="466"/>
      <c r="F36" s="463">
        <f>IF(FWY_Ref!K46=1,FWY_Setup!D36,IF(FWY_Ref!K46=2,IF(E36&lt;&gt;"",FWY_Setup!E36,D36),"SELECT VALUE"))</f>
        <v>500000</v>
      </c>
      <c r="G36" s="207"/>
    </row>
    <row r="37" spans="1:7" ht="20.100000000000001" customHeight="1" thickBot="1" x14ac:dyDescent="0.3">
      <c r="A37" s="7"/>
      <c r="B37" s="844"/>
      <c r="C37" s="188" t="s">
        <v>483</v>
      </c>
      <c r="D37" s="465">
        <v>500000</v>
      </c>
      <c r="E37" s="464"/>
      <c r="F37" s="463">
        <f>IF(FWY_Ref!K47=1,FWY_Setup!D37,IF(FWY_Ref!K47=2,IF(E37&lt;&gt;"",FWY_Setup!E37,D37),"SELECT VALUE"))</f>
        <v>500000</v>
      </c>
      <c r="G37" s="207"/>
    </row>
    <row r="38" spans="1:7" ht="5.0999999999999996" customHeight="1" thickTop="1" thickBot="1" x14ac:dyDescent="0.3">
      <c r="A38" s="7"/>
      <c r="B38" s="234"/>
      <c r="C38" s="169"/>
      <c r="D38" s="172"/>
      <c r="E38" s="173"/>
      <c r="F38" s="255"/>
      <c r="G38" s="7"/>
    </row>
    <row r="39" spans="1:7" ht="30" customHeight="1" thickTop="1" thickBot="1" x14ac:dyDescent="0.3">
      <c r="A39" s="249"/>
      <c r="B39" s="104" t="s">
        <v>270</v>
      </c>
      <c r="C39" s="185" t="s">
        <v>272</v>
      </c>
      <c r="D39" s="65">
        <v>0.4</v>
      </c>
      <c r="E39" s="92"/>
      <c r="F39" s="140">
        <f>IF(FWY_Ref!E131=1,FWY_Setup!D39,IF(FWY_Ref!E131=2,IF(E39&lt;&gt;"",FWY_Setup!E39,D39),"SELECT VALUE"))</f>
        <v>0.4</v>
      </c>
      <c r="G39" s="207"/>
    </row>
    <row r="40" spans="1:7" ht="5.0999999999999996" customHeight="1" thickTop="1" thickBot="1" x14ac:dyDescent="0.3">
      <c r="A40" s="7"/>
      <c r="B40" s="233"/>
      <c r="C40" s="175"/>
      <c r="D40" s="170"/>
      <c r="E40" s="164"/>
      <c r="F40" s="254"/>
      <c r="G40" s="7"/>
    </row>
    <row r="41" spans="1:7" ht="20.100000000000001" customHeight="1" thickTop="1" thickBot="1" x14ac:dyDescent="0.3">
      <c r="A41" s="249"/>
      <c r="B41" s="104" t="s">
        <v>494</v>
      </c>
      <c r="C41" s="186" t="s">
        <v>265</v>
      </c>
      <c r="D41" s="106">
        <v>40</v>
      </c>
      <c r="E41" s="138"/>
      <c r="F41" s="140">
        <f>IF(FWY_Ref!K48=1,FWY_Setup!D41,IF(FWY_Ref!K48=2,IF(E41&lt;&gt;"",FWY_Setup!E41,D41),"SELECT VALUE"))</f>
        <v>40</v>
      </c>
      <c r="G41" s="207"/>
    </row>
    <row r="42" spans="1:7" ht="5.0999999999999996" customHeight="1" thickTop="1" thickBot="1" x14ac:dyDescent="0.3">
      <c r="A42" s="7"/>
      <c r="B42" s="233"/>
      <c r="C42" s="169"/>
      <c r="D42" s="170"/>
      <c r="E42" s="171"/>
      <c r="F42" s="170"/>
      <c r="G42" s="251"/>
    </row>
    <row r="43" spans="1:7" ht="20.100000000000001" customHeight="1" thickTop="1" thickBot="1" x14ac:dyDescent="0.3">
      <c r="A43" s="249"/>
      <c r="B43" s="105" t="s">
        <v>493</v>
      </c>
      <c r="C43" s="183" t="s">
        <v>265</v>
      </c>
      <c r="D43" s="65">
        <v>15</v>
      </c>
      <c r="E43" s="92"/>
      <c r="F43" s="140">
        <f>IF(FWY_Ref!K49=1,FWY_Setup!D43,IF(FWY_Ref!K49=2,IF(E43&lt;&gt;"",FWY_Setup!E43,D43),"SELECT VALUE"))</f>
        <v>15</v>
      </c>
      <c r="G43" s="207"/>
    </row>
    <row r="44" spans="1:7" ht="5.0999999999999996" customHeight="1" thickTop="1" thickBot="1" x14ac:dyDescent="0.3">
      <c r="A44" s="7"/>
      <c r="B44" s="233"/>
      <c r="C44" s="169"/>
      <c r="D44" s="167"/>
      <c r="E44" s="171"/>
      <c r="F44" s="254"/>
      <c r="G44" s="207"/>
    </row>
    <row r="45" spans="1:7" ht="30" customHeight="1" thickTop="1" thickBot="1" x14ac:dyDescent="0.3">
      <c r="A45" s="249"/>
      <c r="B45" s="105" t="s">
        <v>492</v>
      </c>
      <c r="C45" s="186" t="s">
        <v>265</v>
      </c>
      <c r="D45" s="106">
        <v>165</v>
      </c>
      <c r="E45" s="92"/>
      <c r="F45" s="140">
        <f>IF(FWY_Ref!K50=1,FWY_Setup!D45,IF(FWY_Ref!K50=2,IF(E45&lt;&gt;"",FWY_Setup!E45,D45),"SELECT VALUE"))</f>
        <v>165</v>
      </c>
      <c r="G45" s="207"/>
    </row>
    <row r="46" spans="1:7" ht="5.0999999999999996" customHeight="1" thickTop="1" thickBot="1" x14ac:dyDescent="0.3">
      <c r="A46" s="7"/>
      <c r="B46" s="233"/>
      <c r="C46" s="174"/>
      <c r="D46" s="163"/>
      <c r="E46" s="171"/>
      <c r="F46" s="462"/>
      <c r="G46" s="207"/>
    </row>
    <row r="47" spans="1:7" ht="30" customHeight="1" thickTop="1" thickBot="1" x14ac:dyDescent="0.3">
      <c r="A47" s="7"/>
      <c r="B47" s="105" t="s">
        <v>491</v>
      </c>
      <c r="C47" s="186" t="s">
        <v>265</v>
      </c>
      <c r="D47" s="460">
        <v>2</v>
      </c>
      <c r="E47" s="92"/>
      <c r="F47" s="140">
        <f>IF(FWY_Ref!K51=1,FWY_Setup!D47,IF(FWY_Ref!K51=2,IF(E47&lt;&gt;"",FWY_Setup!E47,D47),"SELECT VALUE"))</f>
        <v>2</v>
      </c>
      <c r="G47" s="207"/>
    </row>
    <row r="48" spans="1:7" ht="5.0999999999999996" customHeight="1" thickTop="1" thickBot="1" x14ac:dyDescent="0.3">
      <c r="A48" s="7"/>
      <c r="B48" s="233"/>
      <c r="C48" s="174"/>
      <c r="D48" s="163"/>
      <c r="E48" s="171"/>
      <c r="F48" s="462"/>
      <c r="G48" s="207"/>
    </row>
    <row r="49" spans="1:7" ht="30" customHeight="1" thickTop="1" thickBot="1" x14ac:dyDescent="0.3">
      <c r="A49" s="7"/>
      <c r="B49" s="461" t="s">
        <v>490</v>
      </c>
      <c r="C49" s="183" t="s">
        <v>265</v>
      </c>
      <c r="D49" s="460">
        <v>1.5</v>
      </c>
      <c r="E49" s="92"/>
      <c r="F49" s="140">
        <f>IF(FWY_Ref!K52=1,FWY_Setup!D49,IF(FWY_Ref!K52=2,IF(E49&lt;&gt;"",FWY_Setup!E49,D49),"SELECT VALUE"))</f>
        <v>1.5</v>
      </c>
      <c r="G49" s="207"/>
    </row>
    <row r="50" spans="1:7" ht="5.0999999999999996" customHeight="1" thickTop="1" thickBot="1" x14ac:dyDescent="0.3">
      <c r="A50" s="7"/>
      <c r="B50" s="233"/>
      <c r="C50" s="174"/>
      <c r="D50" s="163"/>
      <c r="E50" s="171"/>
      <c r="F50" s="462"/>
      <c r="G50" s="207"/>
    </row>
    <row r="51" spans="1:7" ht="30" customHeight="1" thickTop="1" thickBot="1" x14ac:dyDescent="0.3">
      <c r="A51" s="7"/>
      <c r="B51" s="461" t="s">
        <v>746</v>
      </c>
      <c r="C51" s="183" t="s">
        <v>265</v>
      </c>
      <c r="D51" s="460">
        <v>10</v>
      </c>
      <c r="E51" s="92"/>
      <c r="F51" s="140">
        <f>IF(FWY_Ref!K53=1,FWY_Setup!D51,IF(FWY_Ref!K53=2,IF(E51&lt;&gt;"",FWY_Setup!E51,D51),"SELECT VALUE"))</f>
        <v>10</v>
      </c>
      <c r="G51" s="207"/>
    </row>
    <row r="52" spans="1:7" ht="5.0999999999999996" customHeight="1" thickTop="1" thickBot="1" x14ac:dyDescent="0.3">
      <c r="A52" s="7"/>
      <c r="B52" s="234"/>
      <c r="C52" s="169"/>
      <c r="D52" s="170"/>
      <c r="E52" s="171"/>
      <c r="F52" s="254"/>
      <c r="G52" s="207"/>
    </row>
    <row r="53" spans="1:7" ht="20.100000000000001" customHeight="1" thickTop="1" thickBot="1" x14ac:dyDescent="0.3">
      <c r="A53" s="249"/>
      <c r="B53" s="644" t="s">
        <v>22</v>
      </c>
      <c r="C53" s="459" t="s">
        <v>489</v>
      </c>
      <c r="D53" s="458"/>
      <c r="E53" s="457"/>
      <c r="F53" s="456"/>
      <c r="G53" s="207"/>
    </row>
    <row r="54" spans="1:7" ht="20.100000000000001" customHeight="1" thickTop="1" x14ac:dyDescent="0.25">
      <c r="A54" s="249"/>
      <c r="B54" s="645"/>
      <c r="C54" s="443" t="s">
        <v>29</v>
      </c>
      <c r="D54" s="305">
        <v>8.9999999999999993E-3</v>
      </c>
      <c r="E54" s="98"/>
      <c r="F54" s="444">
        <f>IF(FWY_Ref!N42=1,FWY_Setup!D54,IF(FWY_Ref!N42=2,IF(E54&lt;&gt;"",FWY_Setup!E54,D54),"SELECT VALUE"))</f>
        <v>8.9999999999999993E-3</v>
      </c>
      <c r="G54" s="207"/>
    </row>
    <row r="55" spans="1:7" ht="20.100000000000001" customHeight="1" x14ac:dyDescent="0.25">
      <c r="A55" s="249"/>
      <c r="B55" s="645"/>
      <c r="C55" s="443" t="s">
        <v>30</v>
      </c>
      <c r="D55" s="47">
        <v>3.0000000000000001E-3</v>
      </c>
      <c r="E55" s="98"/>
      <c r="F55" s="440">
        <f>IF(FWY_Ref!N43=1,FWY_Setup!D55,IF(FWY_Ref!N43=2,IF(E55&lt;&gt;"",FWY_Setup!E55,D55),"SELECT VALUE"))</f>
        <v>3.0000000000000001E-3</v>
      </c>
      <c r="G55" s="207"/>
    </row>
    <row r="56" spans="1:7" ht="20.100000000000001" customHeight="1" x14ac:dyDescent="0.25">
      <c r="A56" s="249"/>
      <c r="B56" s="645"/>
      <c r="C56" s="443" t="s">
        <v>31</v>
      </c>
      <c r="D56" s="258">
        <v>0.08</v>
      </c>
      <c r="E56" s="98"/>
      <c r="F56" s="440">
        <f>IF(FWY_Ref!N44=1,FWY_Setup!D56,IF(FWY_Ref!N44=2,IF(E56&lt;&gt;"",FWY_Setup!E56,D56),"SELECT VALUE"))</f>
        <v>0.08</v>
      </c>
      <c r="G56" s="207"/>
    </row>
    <row r="57" spans="1:7" ht="20.100000000000001" customHeight="1" x14ac:dyDescent="0.25">
      <c r="A57" s="249"/>
      <c r="B57" s="645"/>
      <c r="C57" s="442" t="s">
        <v>32</v>
      </c>
      <c r="D57" s="258">
        <v>0.05</v>
      </c>
      <c r="E57" s="98"/>
      <c r="F57" s="440">
        <f>IF(FWY_Ref!N45=1,FWY_Setup!D57,IF(FWY_Ref!N45=2,IF(E57&lt;&gt;"",FWY_Setup!E57,D57),"SELECT VALUE"))</f>
        <v>0.05</v>
      </c>
      <c r="G57" s="207"/>
    </row>
    <row r="58" spans="1:7" ht="20.100000000000001" customHeight="1" thickBot="1" x14ac:dyDescent="0.3">
      <c r="A58" s="249"/>
      <c r="B58" s="645"/>
      <c r="C58" s="439" t="s">
        <v>482</v>
      </c>
      <c r="D58" s="259">
        <v>0</v>
      </c>
      <c r="E58" s="260"/>
      <c r="F58" s="440">
        <f>IF(FWY_Ref!N46=1,FWY_Setup!D58,IF(FWY_Ref!N46=2,IF(E58&lt;&gt;"",FWY_Setup!E58,D58),"SELECT VALUE"))</f>
        <v>0</v>
      </c>
      <c r="G58" s="251"/>
    </row>
    <row r="59" spans="1:7" ht="5.0999999999999996" customHeight="1" thickTop="1" thickBot="1" x14ac:dyDescent="0.3">
      <c r="A59" s="249"/>
      <c r="B59" s="645"/>
      <c r="C59" s="450"/>
      <c r="D59" s="449"/>
      <c r="E59" s="448"/>
      <c r="F59" s="340"/>
      <c r="G59" s="207"/>
    </row>
    <row r="60" spans="1:7" ht="20.100000000000001" customHeight="1" thickTop="1" thickBot="1" x14ac:dyDescent="0.3">
      <c r="A60" s="249"/>
      <c r="B60" s="645"/>
      <c r="C60" s="454" t="s">
        <v>488</v>
      </c>
      <c r="D60" s="203"/>
      <c r="E60" s="446"/>
      <c r="F60" s="453"/>
      <c r="G60" s="207"/>
    </row>
    <row r="61" spans="1:7" ht="20.100000000000001" customHeight="1" thickTop="1" x14ac:dyDescent="0.25">
      <c r="A61" s="249"/>
      <c r="B61" s="645"/>
      <c r="C61" s="443" t="s">
        <v>29</v>
      </c>
      <c r="D61" s="305">
        <v>4.0000000000000001E-3</v>
      </c>
      <c r="E61" s="445"/>
      <c r="F61" s="444">
        <f>IF(FWY_Ref!N49=1,FWY_Setup!D61,IF(FWY_Ref!N49=2,IF(E61&lt;&gt;"",FWY_Setup!E61,D61),"SELECT VALUE"))</f>
        <v>4.0000000000000001E-3</v>
      </c>
      <c r="G61" s="207"/>
    </row>
    <row r="62" spans="1:7" ht="20.100000000000001" customHeight="1" x14ac:dyDescent="0.25">
      <c r="A62" s="249"/>
      <c r="B62" s="645"/>
      <c r="C62" s="443" t="s">
        <v>30</v>
      </c>
      <c r="D62" s="258">
        <v>3.0000000000000001E-3</v>
      </c>
      <c r="E62" s="441"/>
      <c r="F62" s="440">
        <f>IF(FWY_Ref!N50=1,FWY_Setup!D62,IF(FWY_Ref!N50=2,IF(E62&lt;&gt;"",FWY_Setup!E62,D62),"SELECT VALUE"))</f>
        <v>3.0000000000000001E-3</v>
      </c>
      <c r="G62" s="207"/>
    </row>
    <row r="63" spans="1:7" ht="20.100000000000001" customHeight="1" x14ac:dyDescent="0.25">
      <c r="A63" s="249"/>
      <c r="B63" s="645"/>
      <c r="C63" s="443" t="s">
        <v>31</v>
      </c>
      <c r="D63" s="258">
        <v>0.08</v>
      </c>
      <c r="E63" s="441"/>
      <c r="F63" s="440">
        <f>IF(FWY_Ref!N51=1,FWY_Setup!D63,IF(FWY_Ref!N51=2,IF(E63&lt;&gt;"",FWY_Setup!E63,D63),"SELECT VALUE"))</f>
        <v>0.08</v>
      </c>
      <c r="G63" s="207"/>
    </row>
    <row r="64" spans="1:7" ht="20.100000000000001" customHeight="1" x14ac:dyDescent="0.25">
      <c r="A64" s="249"/>
      <c r="B64" s="645"/>
      <c r="C64" s="442" t="s">
        <v>32</v>
      </c>
      <c r="D64" s="258">
        <v>0.06</v>
      </c>
      <c r="E64" s="441"/>
      <c r="F64" s="440">
        <f>IF(FWY_Ref!N52=1,FWY_Setup!D64,IF(FWY_Ref!N52=2,IF(E64&lt;&gt;"",FWY_Setup!E64,D64),"SELECT VALUE"))</f>
        <v>0.06</v>
      </c>
      <c r="G64" s="207"/>
    </row>
    <row r="65" spans="1:7" ht="20.100000000000001" customHeight="1" thickBot="1" x14ac:dyDescent="0.3">
      <c r="A65" s="249"/>
      <c r="B65" s="645"/>
      <c r="C65" s="439" t="s">
        <v>482</v>
      </c>
      <c r="D65" s="259">
        <v>0</v>
      </c>
      <c r="E65" s="438"/>
      <c r="F65" s="143">
        <f>IF(FWY_Ref!N53=1,FWY_Setup!D65,IF(FWY_Ref!N53=2,IF(E65&lt;&gt;"",FWY_Setup!E65,D65),"SELECT VALUE"))</f>
        <v>0</v>
      </c>
      <c r="G65" s="207"/>
    </row>
    <row r="66" spans="1:7" ht="5.0999999999999996" customHeight="1" thickTop="1" thickBot="1" x14ac:dyDescent="0.3">
      <c r="A66" s="249"/>
      <c r="B66" s="645"/>
      <c r="C66" s="450"/>
      <c r="D66" s="449"/>
      <c r="E66" s="448"/>
      <c r="F66" s="340"/>
      <c r="G66" s="207"/>
    </row>
    <row r="67" spans="1:7" ht="20.100000000000001" customHeight="1" thickTop="1" thickBot="1" x14ac:dyDescent="0.3">
      <c r="A67" s="249"/>
      <c r="B67" s="645"/>
      <c r="C67" s="454" t="s">
        <v>487</v>
      </c>
      <c r="D67" s="203"/>
      <c r="E67" s="446"/>
      <c r="F67" s="453"/>
      <c r="G67" s="207"/>
    </row>
    <row r="68" spans="1:7" ht="20.100000000000001" customHeight="1" thickTop="1" x14ac:dyDescent="0.25">
      <c r="A68" s="249"/>
      <c r="B68" s="645"/>
      <c r="C68" s="443" t="s">
        <v>29</v>
      </c>
      <c r="D68" s="305">
        <v>4.0000000000000001E-3</v>
      </c>
      <c r="E68" s="445"/>
      <c r="F68" s="444">
        <f>IF(FWY_Ref!N56=1,FWY_Setup!D68,IF(FWY_Ref!N56=2,IF(E68&lt;&gt;"",FWY_Setup!E68,D68),"SELECT VALUE"))</f>
        <v>4.0000000000000001E-3</v>
      </c>
      <c r="G68" s="207"/>
    </row>
    <row r="69" spans="1:7" ht="20.100000000000001" customHeight="1" x14ac:dyDescent="0.25">
      <c r="A69" s="249"/>
      <c r="B69" s="645"/>
      <c r="C69" s="443" t="s">
        <v>30</v>
      </c>
      <c r="D69" s="258">
        <v>3.0000000000000001E-3</v>
      </c>
      <c r="E69" s="441"/>
      <c r="F69" s="440">
        <f>IF(FWY_Ref!N57=1,FWY_Setup!D69,IF(FWY_Ref!N57=2,IF(E69&lt;&gt;"",FWY_Setup!E69,D69),"SELECT VALUE"))</f>
        <v>3.0000000000000001E-3</v>
      </c>
      <c r="G69" s="207"/>
    </row>
    <row r="70" spans="1:7" ht="20.100000000000001" customHeight="1" x14ac:dyDescent="0.25">
      <c r="A70" s="249"/>
      <c r="B70" s="645"/>
      <c r="C70" s="443" t="s">
        <v>31</v>
      </c>
      <c r="D70" s="258">
        <v>0.08</v>
      </c>
      <c r="E70" s="441"/>
      <c r="F70" s="440">
        <f>IF(FWY_Ref!N58=1,FWY_Setup!D70,IF(FWY_Ref!N58=2,IF(E70&lt;&gt;"",FWY_Setup!E70,D70),"SELECT VALUE"))</f>
        <v>0.08</v>
      </c>
      <c r="G70" s="207"/>
    </row>
    <row r="71" spans="1:7" ht="20.100000000000001" customHeight="1" x14ac:dyDescent="0.25">
      <c r="A71" s="249"/>
      <c r="B71" s="645"/>
      <c r="C71" s="442" t="s">
        <v>32</v>
      </c>
      <c r="D71" s="258">
        <v>0.06</v>
      </c>
      <c r="E71" s="441"/>
      <c r="F71" s="440">
        <f>IF(FWY_Ref!N59=1,FWY_Setup!D71,IF(FWY_Ref!N59=2,IF(E71&lt;&gt;"",FWY_Setup!E71,D71),"SELECT VALUE"))</f>
        <v>0.06</v>
      </c>
      <c r="G71" s="207"/>
    </row>
    <row r="72" spans="1:7" ht="20.100000000000001" customHeight="1" thickBot="1" x14ac:dyDescent="0.3">
      <c r="A72" s="249"/>
      <c r="B72" s="645"/>
      <c r="C72" s="439" t="s">
        <v>482</v>
      </c>
      <c r="D72" s="455">
        <v>0</v>
      </c>
      <c r="E72" s="260"/>
      <c r="F72" s="440">
        <f>IF(FWY_Ref!N60=1,FWY_Setup!D72,IF(FWY_Ref!N60=2,IF(E72&lt;&gt;"",FWY_Setup!E72,D72),"SELECT VALUE"))</f>
        <v>0</v>
      </c>
      <c r="G72" s="207"/>
    </row>
    <row r="73" spans="1:7" ht="5.0999999999999996" customHeight="1" thickTop="1" thickBot="1" x14ac:dyDescent="0.3">
      <c r="A73" s="249"/>
      <c r="B73" s="645"/>
      <c r="C73" s="450"/>
      <c r="D73" s="449"/>
      <c r="E73" s="448"/>
      <c r="F73" s="340"/>
      <c r="G73" s="207"/>
    </row>
    <row r="74" spans="1:7" ht="20.100000000000001" customHeight="1" thickTop="1" thickBot="1" x14ac:dyDescent="0.3">
      <c r="A74" s="249"/>
      <c r="B74" s="645"/>
      <c r="C74" s="454" t="s">
        <v>486</v>
      </c>
      <c r="D74" s="203"/>
      <c r="E74" s="446"/>
      <c r="F74" s="453"/>
      <c r="G74" s="207"/>
    </row>
    <row r="75" spans="1:7" ht="20.100000000000001" customHeight="1" thickTop="1" x14ac:dyDescent="0.25">
      <c r="A75" s="249"/>
      <c r="B75" s="645"/>
      <c r="C75" s="443" t="s">
        <v>29</v>
      </c>
      <c r="D75" s="305">
        <v>0.08</v>
      </c>
      <c r="E75" s="445"/>
      <c r="F75" s="444">
        <f>IF(FWY_Ref!N63=1,FWY_Setup!D75,IF(FWY_Ref!N63=2,IF(E75&lt;&gt;"",FWY_Setup!E75,D75),"SELECT VALUE"))</f>
        <v>0.08</v>
      </c>
      <c r="G75" s="207"/>
    </row>
    <row r="76" spans="1:7" ht="20.100000000000001" customHeight="1" x14ac:dyDescent="0.25">
      <c r="A76" s="249"/>
      <c r="B76" s="645"/>
      <c r="C76" s="443" t="s">
        <v>30</v>
      </c>
      <c r="D76" s="258">
        <v>4.0000000000000001E-3</v>
      </c>
      <c r="E76" s="441"/>
      <c r="F76" s="440">
        <f>IF(FWY_Ref!N64=1,FWY_Setup!D76,IF(FWY_Ref!N64=2,IF(E76&lt;&gt;"",FWY_Setup!E76,D76),"SELECT VALUE"))</f>
        <v>4.0000000000000001E-3</v>
      </c>
      <c r="G76" s="207"/>
    </row>
    <row r="77" spans="1:7" ht="20.100000000000001" customHeight="1" x14ac:dyDescent="0.25">
      <c r="A77" s="249"/>
      <c r="B77" s="645"/>
      <c r="C77" s="443" t="s">
        <v>31</v>
      </c>
      <c r="D77" s="258">
        <v>8.5000000000000006E-2</v>
      </c>
      <c r="E77" s="441"/>
      <c r="F77" s="440">
        <f>IF(FWY_Ref!N65=1,FWY_Setup!D77,IF(FWY_Ref!N65=2,IF(E77&lt;&gt;"",FWY_Setup!E77,D77),"SELECT VALUE"))</f>
        <v>8.5000000000000006E-2</v>
      </c>
      <c r="G77" s="207"/>
    </row>
    <row r="78" spans="1:7" ht="20.100000000000001" customHeight="1" x14ac:dyDescent="0.25">
      <c r="A78" s="249"/>
      <c r="B78" s="645"/>
      <c r="C78" s="442" t="s">
        <v>32</v>
      </c>
      <c r="D78" s="258">
        <v>7.0000000000000007E-2</v>
      </c>
      <c r="E78" s="441"/>
      <c r="F78" s="440">
        <f>IF(FWY_Ref!N66=1,FWY_Setup!D78,IF(FWY_Ref!N66=2,IF(E78&lt;&gt;"",FWY_Setup!E78,D78),"SELECT VALUE"))</f>
        <v>7.0000000000000007E-2</v>
      </c>
      <c r="G78" s="207"/>
    </row>
    <row r="79" spans="1:7" ht="20.100000000000001" customHeight="1" thickBot="1" x14ac:dyDescent="0.3">
      <c r="A79" s="249"/>
      <c r="B79" s="645"/>
      <c r="C79" s="439" t="s">
        <v>482</v>
      </c>
      <c r="D79" s="259">
        <v>0.01</v>
      </c>
      <c r="E79" s="438"/>
      <c r="F79" s="440">
        <f>IF(FWY_Ref!N67=1,FWY_Setup!D79,IF(FWY_Ref!N67=2,IF(E79&lt;&gt;"",FWY_Setup!E79,D79),"SELECT VALUE"))</f>
        <v>0.01</v>
      </c>
      <c r="G79" s="207"/>
    </row>
    <row r="80" spans="1:7" ht="5.0999999999999996" customHeight="1" thickTop="1" thickBot="1" x14ac:dyDescent="0.3">
      <c r="A80" s="249"/>
      <c r="B80" s="645"/>
      <c r="C80" s="450"/>
      <c r="D80" s="449"/>
      <c r="E80" s="448"/>
      <c r="F80" s="340"/>
      <c r="G80" s="207"/>
    </row>
    <row r="81" spans="1:7" ht="20.100000000000001" customHeight="1" thickTop="1" thickBot="1" x14ac:dyDescent="0.3">
      <c r="A81" s="249"/>
      <c r="B81" s="645"/>
      <c r="C81" s="454" t="s">
        <v>485</v>
      </c>
      <c r="D81" s="203"/>
      <c r="E81" s="446"/>
      <c r="F81" s="453"/>
      <c r="G81" s="207"/>
    </row>
    <row r="82" spans="1:7" ht="20.100000000000001" customHeight="1" thickTop="1" x14ac:dyDescent="0.25">
      <c r="A82" s="249"/>
      <c r="B82" s="645"/>
      <c r="C82" s="443" t="s">
        <v>29</v>
      </c>
      <c r="D82" s="305">
        <v>7.0000000000000007E-2</v>
      </c>
      <c r="E82" s="445"/>
      <c r="F82" s="444">
        <f>IF(FWY_Ref!N70=1,FWY_Setup!D82,IF(FWY_Ref!N70=2,IF(E82&lt;&gt;"",FWY_Setup!E82,D82),"SELECT VALUE"))</f>
        <v>7.0000000000000007E-2</v>
      </c>
      <c r="G82" s="207"/>
    </row>
    <row r="83" spans="1:7" ht="20.100000000000001" customHeight="1" x14ac:dyDescent="0.25">
      <c r="A83" s="249"/>
      <c r="B83" s="645"/>
      <c r="C83" s="443" t="s">
        <v>30</v>
      </c>
      <c r="D83" s="258">
        <v>4.0000000000000001E-3</v>
      </c>
      <c r="E83" s="441"/>
      <c r="F83" s="440">
        <f>IF(FWY_Ref!N71=1,FWY_Setup!D83,IF(FWY_Ref!N71=2,IF(E83&lt;&gt;"",FWY_Setup!E83,D83),"SELECT VALUE"))</f>
        <v>4.0000000000000001E-3</v>
      </c>
      <c r="G83" s="207"/>
    </row>
    <row r="84" spans="1:7" ht="20.100000000000001" customHeight="1" x14ac:dyDescent="0.25">
      <c r="A84" s="249"/>
      <c r="B84" s="645"/>
      <c r="C84" s="443" t="s">
        <v>31</v>
      </c>
      <c r="D84" s="258">
        <v>0.09</v>
      </c>
      <c r="E84" s="441"/>
      <c r="F84" s="440">
        <f>IF(FWY_Ref!N72=1,FWY_Setup!D84,IF(FWY_Ref!N72=2,IF(E84&lt;&gt;"",FWY_Setup!E84,D84),"SELECT VALUE"))</f>
        <v>0.09</v>
      </c>
      <c r="G84" s="207"/>
    </row>
    <row r="85" spans="1:7" ht="20.100000000000001" customHeight="1" x14ac:dyDescent="0.25">
      <c r="A85" s="249"/>
      <c r="B85" s="645"/>
      <c r="C85" s="442" t="s">
        <v>32</v>
      </c>
      <c r="D85" s="258">
        <v>0.1</v>
      </c>
      <c r="E85" s="441"/>
      <c r="F85" s="440">
        <f>IF(FWY_Ref!N73=1,FWY_Setup!D85,IF(FWY_Ref!N73=2,IF(E85&lt;&gt;"",FWY_Setup!E85,D85),"SELECT VALUE"))</f>
        <v>0.1</v>
      </c>
      <c r="G85" s="207"/>
    </row>
    <row r="86" spans="1:7" ht="20.100000000000001" customHeight="1" thickBot="1" x14ac:dyDescent="0.3">
      <c r="A86" s="249"/>
      <c r="B86" s="645"/>
      <c r="C86" s="439" t="s">
        <v>482</v>
      </c>
      <c r="D86" s="259">
        <v>0.01</v>
      </c>
      <c r="E86" s="438"/>
      <c r="F86" s="440">
        <f>IF(FWY_Ref!N74=1,FWY_Setup!D86,IF(FWY_Ref!N74=2,IF(E86&lt;&gt;"",FWY_Setup!E86,D86),"SELECT VALUE"))</f>
        <v>0.01</v>
      </c>
      <c r="G86" s="207"/>
    </row>
    <row r="87" spans="1:7" ht="5.0999999999999996" customHeight="1" thickTop="1" thickBot="1" x14ac:dyDescent="0.3">
      <c r="A87" s="249"/>
      <c r="B87" s="645"/>
      <c r="C87" s="450"/>
      <c r="D87" s="449"/>
      <c r="E87" s="448"/>
      <c r="F87" s="340"/>
      <c r="G87" s="207"/>
    </row>
    <row r="88" spans="1:7" ht="20.100000000000001" customHeight="1" thickTop="1" thickBot="1" x14ac:dyDescent="0.3">
      <c r="A88" s="249"/>
      <c r="B88" s="645"/>
      <c r="C88" s="454" t="s">
        <v>484</v>
      </c>
      <c r="D88" s="203"/>
      <c r="E88" s="446"/>
      <c r="F88" s="453"/>
      <c r="G88" s="207"/>
    </row>
    <row r="89" spans="1:7" ht="20.100000000000001" customHeight="1" thickTop="1" x14ac:dyDescent="0.25">
      <c r="A89" s="249"/>
      <c r="B89" s="645"/>
      <c r="C89" s="443" t="s">
        <v>29</v>
      </c>
      <c r="D89" s="305">
        <v>0.06</v>
      </c>
      <c r="E89" s="445"/>
      <c r="F89" s="444">
        <f>IF(FWY_Ref!N77=1,FWY_Setup!D89,IF(FWY_Ref!N77=2,IF(E89&lt;&gt;"",FWY_Setup!E89,D89),"SELECT VALUE"))</f>
        <v>0.06</v>
      </c>
      <c r="G89" s="207"/>
    </row>
    <row r="90" spans="1:7" ht="20.100000000000001" customHeight="1" x14ac:dyDescent="0.25">
      <c r="A90" s="249"/>
      <c r="B90" s="645"/>
      <c r="C90" s="443" t="s">
        <v>30</v>
      </c>
      <c r="D90" s="258">
        <v>5.0000000000000001E-3</v>
      </c>
      <c r="E90" s="441"/>
      <c r="F90" s="440">
        <f>IF(FWY_Ref!N78=1,FWY_Setup!D90,IF(FWY_Ref!N78=2,IF(E90&lt;&gt;"",FWY_Setup!E90,D90),"SELECT VALUE"))</f>
        <v>5.0000000000000001E-3</v>
      </c>
      <c r="G90" s="207"/>
    </row>
    <row r="91" spans="1:7" ht="20.100000000000001" customHeight="1" x14ac:dyDescent="0.25">
      <c r="A91" s="249"/>
      <c r="B91" s="645"/>
      <c r="C91" s="443" t="s">
        <v>31</v>
      </c>
      <c r="D91" s="258">
        <v>9.5000000000000001E-2</v>
      </c>
      <c r="E91" s="441"/>
      <c r="F91" s="440">
        <f>IF(FWY_Ref!N79=1,FWY_Setup!D91,IF(FWY_Ref!N79=2,IF(E91&lt;&gt;"",FWY_Setup!E91,D91),"SELECT VALUE"))</f>
        <v>9.5000000000000001E-2</v>
      </c>
      <c r="G91" s="207"/>
    </row>
    <row r="92" spans="1:7" ht="20.100000000000001" customHeight="1" x14ac:dyDescent="0.25">
      <c r="A92" s="249"/>
      <c r="B92" s="645"/>
      <c r="C92" s="442" t="s">
        <v>32</v>
      </c>
      <c r="D92" s="258">
        <v>0.1</v>
      </c>
      <c r="E92" s="441"/>
      <c r="F92" s="452">
        <f>IF(FWY_Ref!N80=1,FWY_Setup!D92,IF(FWY_Ref!N80=2,IF(E92&lt;&gt;"",FWY_Setup!E92,D92),"SELECT VALUE"))</f>
        <v>0.1</v>
      </c>
      <c r="G92" s="207"/>
    </row>
    <row r="93" spans="1:7" ht="20.100000000000001" customHeight="1" thickBot="1" x14ac:dyDescent="0.3">
      <c r="A93" s="249"/>
      <c r="B93" s="645"/>
      <c r="C93" s="439" t="s">
        <v>482</v>
      </c>
      <c r="D93" s="259">
        <v>0.01</v>
      </c>
      <c r="E93" s="438"/>
      <c r="F93" s="451">
        <f>IF(FWY_Ref!N81=1,FWY_Setup!D93,IF(FWY_Ref!N81=2,IF(E93&lt;&gt;"",FWY_Setup!E93,D93),"SELECT VALUE"))</f>
        <v>0.01</v>
      </c>
      <c r="G93" s="207"/>
    </row>
    <row r="94" spans="1:7" ht="5.0999999999999996" customHeight="1" thickTop="1" thickBot="1" x14ac:dyDescent="0.3">
      <c r="A94" s="249"/>
      <c r="B94" s="645"/>
      <c r="C94" s="450"/>
      <c r="D94" s="449"/>
      <c r="E94" s="448"/>
      <c r="F94" s="340"/>
      <c r="G94" s="207"/>
    </row>
    <row r="95" spans="1:7" ht="20.100000000000001" customHeight="1" thickTop="1" thickBot="1" x14ac:dyDescent="0.3">
      <c r="A95" s="249"/>
      <c r="B95" s="645"/>
      <c r="C95" s="447" t="s">
        <v>483</v>
      </c>
      <c r="D95" s="203"/>
      <c r="E95" s="446"/>
      <c r="F95" s="203"/>
      <c r="G95" s="251"/>
    </row>
    <row r="96" spans="1:7" ht="20.100000000000001" customHeight="1" thickTop="1" x14ac:dyDescent="0.25">
      <c r="A96" s="249"/>
      <c r="B96" s="645"/>
      <c r="C96" s="443" t="s">
        <v>29</v>
      </c>
      <c r="D96" s="305">
        <v>0.06</v>
      </c>
      <c r="E96" s="445"/>
      <c r="F96" s="444">
        <f>IF(FWY_Ref!N84=1,FWY_Setup!D96,IF(FWY_Ref!N84=2,IF(E96&lt;&gt;"",FWY_Setup!E96,D96),"SELECT VALUE"))</f>
        <v>0.06</v>
      </c>
      <c r="G96" s="207"/>
    </row>
    <row r="97" spans="1:7" ht="20.100000000000001" customHeight="1" x14ac:dyDescent="0.25">
      <c r="A97" s="249"/>
      <c r="B97" s="645"/>
      <c r="C97" s="443" t="s">
        <v>30</v>
      </c>
      <c r="D97" s="258">
        <v>5.0000000000000001E-3</v>
      </c>
      <c r="E97" s="441"/>
      <c r="F97" s="440">
        <f>IF(FWY_Ref!N85=1,FWY_Setup!D97,IF(FWY_Ref!N85=2,IF(E97&lt;&gt;"",FWY_Setup!E97,D97),"SELECT VALUE"))</f>
        <v>5.0000000000000001E-3</v>
      </c>
      <c r="G97" s="207"/>
    </row>
    <row r="98" spans="1:7" ht="20.100000000000001" customHeight="1" x14ac:dyDescent="0.25">
      <c r="A98" s="249"/>
      <c r="B98" s="645"/>
      <c r="C98" s="443" t="s">
        <v>31</v>
      </c>
      <c r="D98" s="258">
        <v>9.5000000000000001E-2</v>
      </c>
      <c r="E98" s="441"/>
      <c r="F98" s="440">
        <f>IF(FWY_Ref!N86=1,FWY_Setup!D98,IF(FWY_Ref!N86=2,IF(E98&lt;&gt;"",FWY_Setup!E98,D98),"SELECT VALUE"))</f>
        <v>9.5000000000000001E-2</v>
      </c>
      <c r="G98" s="207"/>
    </row>
    <row r="99" spans="1:7" ht="20.100000000000001" customHeight="1" x14ac:dyDescent="0.25">
      <c r="A99" s="249"/>
      <c r="B99" s="645"/>
      <c r="C99" s="442" t="s">
        <v>32</v>
      </c>
      <c r="D99" s="258">
        <v>0.1</v>
      </c>
      <c r="E99" s="441"/>
      <c r="F99" s="440">
        <f>IF(FWY_Ref!N87=1,FWY_Setup!D99,IF(FWY_Ref!N87=2,IF(E99&lt;&gt;"",FWY_Setup!E99,D99),"SELECT VALUE"))</f>
        <v>0.1</v>
      </c>
      <c r="G99" s="207"/>
    </row>
    <row r="100" spans="1:7" ht="20.100000000000001" customHeight="1" thickBot="1" x14ac:dyDescent="0.3">
      <c r="A100" s="249"/>
      <c r="B100" s="645"/>
      <c r="C100" s="439" t="s">
        <v>482</v>
      </c>
      <c r="D100" s="259">
        <v>0.01</v>
      </c>
      <c r="E100" s="438"/>
      <c r="F100" s="143">
        <f>IF(FWY_Ref!N88=1,FWY_Setup!D100,IF(FWY_Ref!N88=2,IF(E100&lt;&gt;"",FWY_Setup!E100,D100),"SELECT VALUE"))</f>
        <v>0.01</v>
      </c>
      <c r="G100" s="207"/>
    </row>
    <row r="101" spans="1:7" ht="5.0999999999999996" customHeight="1" thickTop="1" thickBot="1" x14ac:dyDescent="0.3">
      <c r="A101" s="7"/>
      <c r="B101" s="233"/>
      <c r="C101" s="166"/>
      <c r="D101" s="176"/>
      <c r="E101" s="177"/>
      <c r="F101" s="176"/>
      <c r="G101" s="251"/>
    </row>
    <row r="102" spans="1:7" ht="20.100000000000001" customHeight="1" thickTop="1" thickBot="1" x14ac:dyDescent="0.3">
      <c r="A102" s="249"/>
      <c r="B102" s="35" t="s">
        <v>23</v>
      </c>
      <c r="C102" s="182" t="s">
        <v>33</v>
      </c>
      <c r="D102" s="43">
        <v>7.0000000000000007E-2</v>
      </c>
      <c r="E102" s="96"/>
      <c r="F102" s="144">
        <f>IF(FWY_Ref!E52=1,FWY_Setup!D102,IF(FWY_Ref!E52=2,IF(E102&lt;&gt;"",FWY_Setup!E102,D102),"SELECT VALUE"))</f>
        <v>7.0000000000000007E-2</v>
      </c>
      <c r="G102" s="251"/>
    </row>
    <row r="103" spans="1:7" ht="5.0999999999999996" customHeight="1" thickTop="1" thickBot="1" x14ac:dyDescent="0.3">
      <c r="A103" s="7"/>
      <c r="B103" s="234"/>
      <c r="C103" s="174"/>
      <c r="D103" s="178"/>
      <c r="E103" s="179"/>
      <c r="F103" s="306"/>
      <c r="G103" s="7"/>
    </row>
    <row r="104" spans="1:7" ht="24.95" customHeight="1" thickTop="1" x14ac:dyDescent="0.25">
      <c r="A104" s="207"/>
      <c r="B104" s="662" t="s">
        <v>24</v>
      </c>
      <c r="C104" s="189" t="s">
        <v>35</v>
      </c>
      <c r="D104" s="665">
        <v>20</v>
      </c>
      <c r="E104" s="39"/>
      <c r="F104" s="667">
        <f>IF(FWY_Ref!E53=1,FWY_Setup!D104,IF(FWY_Ref!E53=2,IF(FWY_Ref!D53=1,5,IF(FWY_Ref!D53=2,10,IF(FWY_Ref!D53=3,20,FWY_Setup!D104))),"SELECT OPTION"))</f>
        <v>20</v>
      </c>
      <c r="G104" s="207"/>
    </row>
    <row r="105" spans="1:7" ht="24.95" customHeight="1" thickBot="1" x14ac:dyDescent="0.3">
      <c r="A105" s="207"/>
      <c r="B105" s="670"/>
      <c r="C105" s="187" t="s">
        <v>36</v>
      </c>
      <c r="D105" s="666"/>
      <c r="E105" s="40"/>
      <c r="F105" s="668"/>
      <c r="G105" s="207"/>
    </row>
    <row r="106" spans="1:7" ht="24.95" customHeight="1" thickTop="1" thickBot="1" x14ac:dyDescent="0.3">
      <c r="A106" s="207"/>
      <c r="B106" s="670"/>
      <c r="C106" s="187" t="s">
        <v>37</v>
      </c>
      <c r="D106" s="504">
        <v>20</v>
      </c>
      <c r="E106" s="40"/>
      <c r="F106" s="437">
        <f>IF(FWY_Ref!E54=1,FWY_Setup!D106,IF(FWY_Ref!E54=2,IF(FWY_Ref!D54=1,5,IF(FWY_Ref!D54=2,10,IF(FWY_Ref!D54=3,20,FWY_Setup!D106))),"SELECT OPTION"))</f>
        <v>20</v>
      </c>
      <c r="G106" s="207"/>
    </row>
    <row r="107" spans="1:7" ht="24.95" customHeight="1" thickTop="1" thickBot="1" x14ac:dyDescent="0.3">
      <c r="A107" s="207"/>
      <c r="B107" s="670"/>
      <c r="C107" s="187" t="s">
        <v>481</v>
      </c>
      <c r="D107" s="63">
        <v>20</v>
      </c>
      <c r="E107" s="40"/>
      <c r="F107" s="437">
        <f>IF(FWY_Ref!E55=1,FWY_Setup!D107,IF(FWY_Ref!E55=2,IF(FWY_Ref!D55=1,5,IF(FWY_Ref!D55=2,10,IF(FWY_Ref!D55=3,20,FWY_Setup!D107))),"SELECT OPTION"))</f>
        <v>20</v>
      </c>
      <c r="G107" s="207"/>
    </row>
    <row r="108" spans="1:7" ht="24.95" customHeight="1" thickTop="1" thickBot="1" x14ac:dyDescent="0.3">
      <c r="A108" s="207"/>
      <c r="B108" s="670"/>
      <c r="C108" s="187" t="s">
        <v>480</v>
      </c>
      <c r="D108" s="63">
        <v>20</v>
      </c>
      <c r="E108" s="40"/>
      <c r="F108" s="437">
        <f>IF(FWY_Ref!E56=1,FWY_Setup!D108,IF(FWY_Ref!E56=2,IF(FWY_Ref!D56=1,5,IF(FWY_Ref!D56=2,10,IF(FWY_Ref!D56=3,20,FWY_Setup!D108))),"SELECT OPTION"))</f>
        <v>20</v>
      </c>
      <c r="G108" s="207"/>
    </row>
    <row r="109" spans="1:7" ht="24.95" customHeight="1" thickTop="1" thickBot="1" x14ac:dyDescent="0.3">
      <c r="A109" s="207"/>
      <c r="B109" s="663"/>
      <c r="C109" s="190" t="s">
        <v>479</v>
      </c>
      <c r="D109" s="64">
        <v>20</v>
      </c>
      <c r="E109" s="41"/>
      <c r="F109" s="437">
        <f>IF(FWY_Ref!E57=1,FWY_Setup!D109,IF(FWY_Ref!E57=2,IF(FWY_Ref!D57=1,5,IF(FWY_Ref!D57=2,10,IF(FWY_Ref!D57=3,20,FWY_Setup!D109))),"SELECT OPTION"))</f>
        <v>20</v>
      </c>
      <c r="G109" s="207"/>
    </row>
    <row r="110" spans="1:7" ht="5.0999999999999996" customHeight="1" thickTop="1" thickBot="1" x14ac:dyDescent="0.3">
      <c r="A110" s="207"/>
      <c r="B110" s="234"/>
      <c r="C110" s="262"/>
      <c r="D110" s="180"/>
      <c r="E110" s="307"/>
      <c r="F110" s="308"/>
      <c r="G110" s="7"/>
    </row>
    <row r="111" spans="1:7" ht="20.100000000000001" customHeight="1" thickTop="1" x14ac:dyDescent="0.25">
      <c r="A111" s="249"/>
      <c r="B111" s="654" t="s">
        <v>25</v>
      </c>
      <c r="C111" s="261" t="s">
        <v>40</v>
      </c>
      <c r="D111" s="265">
        <v>4008900</v>
      </c>
      <c r="E111" s="264"/>
      <c r="F111" s="146">
        <f>IF(FWY_Ref!$E$59=1,FWY_Setup!D111,IF(FWY_Ref!$E$59=2,IF(E111&lt;&gt;"",FWY_Setup!E111,D111),"SELECT VALUE"))</f>
        <v>4008900</v>
      </c>
      <c r="G111" s="207"/>
    </row>
    <row r="112" spans="1:7" ht="20.100000000000001" customHeight="1" x14ac:dyDescent="0.25">
      <c r="A112" s="249"/>
      <c r="B112" s="654"/>
      <c r="C112" s="187" t="s">
        <v>41</v>
      </c>
      <c r="D112" s="267">
        <v>216000</v>
      </c>
      <c r="E112" s="266"/>
      <c r="F112" s="146">
        <f>IF(FWY_Ref!$E$60=1,FWY_Setup!D112,IF(FWY_Ref!$E$60=2,IF(E112&lt;&gt;"",FWY_Setup!E112,D112),"SELECT VALUE"))</f>
        <v>216000</v>
      </c>
      <c r="G112" s="207"/>
    </row>
    <row r="113" spans="1:14" ht="20.100000000000001" customHeight="1" x14ac:dyDescent="0.25">
      <c r="A113" s="249"/>
      <c r="B113" s="654"/>
      <c r="C113" s="187" t="s">
        <v>42</v>
      </c>
      <c r="D113" s="267">
        <v>79000</v>
      </c>
      <c r="E113" s="266"/>
      <c r="F113" s="146">
        <f>IF(FWY_Ref!$E$61=1,FWY_Setup!D113,IF(FWY_Ref!$E$61=2,IF(E113&lt;&gt;"",FWY_Setup!E113,D113),"SELECT VALUE"))</f>
        <v>79000</v>
      </c>
      <c r="G113" s="207"/>
    </row>
    <row r="114" spans="1:14" ht="20.100000000000001" customHeight="1" x14ac:dyDescent="0.25">
      <c r="A114" s="249"/>
      <c r="B114" s="654"/>
      <c r="C114" s="187" t="s">
        <v>43</v>
      </c>
      <c r="D114" s="267">
        <v>44900</v>
      </c>
      <c r="E114" s="266"/>
      <c r="F114" s="146">
        <f>IF(FWY_Ref!$E$62=1,FWY_Setup!D114,IF(FWY_Ref!$E$62=2,IF(E114&lt;&gt;"",FWY_Setup!E114,D114),"SELECT VALUE"))</f>
        <v>44900</v>
      </c>
      <c r="G114" s="207"/>
    </row>
    <row r="115" spans="1:14" ht="20.100000000000001" customHeight="1" thickBot="1" x14ac:dyDescent="0.3">
      <c r="A115" s="249"/>
      <c r="B115" s="655"/>
      <c r="C115" s="188" t="s">
        <v>44</v>
      </c>
      <c r="D115" s="268">
        <v>7400</v>
      </c>
      <c r="E115" s="269"/>
      <c r="F115" s="147">
        <f>IF(FWY_Ref!$E$63=1,FWY_Setup!D115,IF(FWY_Ref!$E$63=2,IF(E115&lt;&gt;"",FWY_Setup!E115,D115),"SELECT VALUE"))</f>
        <v>7400</v>
      </c>
      <c r="G115" s="207"/>
      <c r="L115" s="376"/>
      <c r="M115" s="376"/>
    </row>
    <row r="116" spans="1:14" ht="15.75" customHeight="1" thickTop="1" x14ac:dyDescent="0.25">
      <c r="A116" s="207"/>
      <c r="B116" s="207"/>
      <c r="C116" s="207"/>
      <c r="D116" s="207"/>
      <c r="E116" s="207"/>
      <c r="F116" s="250"/>
      <c r="G116" s="207"/>
      <c r="J116" s="376"/>
      <c r="K116" s="320"/>
      <c r="L116" s="320"/>
      <c r="M116" s="320"/>
    </row>
    <row r="117" spans="1:14" ht="14.65" customHeight="1" thickBot="1" x14ac:dyDescent="0.3">
      <c r="A117" s="207"/>
      <c r="B117" s="207"/>
      <c r="C117" s="7"/>
      <c r="D117" s="270"/>
      <c r="E117" s="207"/>
      <c r="F117" s="7"/>
      <c r="G117" s="207"/>
      <c r="H117" s="7"/>
      <c r="I117" s="7"/>
      <c r="J117" s="7"/>
      <c r="K117" s="846"/>
      <c r="L117" s="846"/>
      <c r="M117" s="846"/>
    </row>
    <row r="118" spans="1:14" ht="16.5" thickTop="1" thickBot="1" x14ac:dyDescent="0.3">
      <c r="A118" s="207"/>
      <c r="B118" s="734" t="s">
        <v>45</v>
      </c>
      <c r="C118" s="735"/>
      <c r="D118" s="310" t="s">
        <v>6</v>
      </c>
      <c r="E118" s="302" t="s">
        <v>7</v>
      </c>
      <c r="F118" s="303" t="s">
        <v>8</v>
      </c>
      <c r="G118" s="207"/>
      <c r="H118" s="625"/>
      <c r="I118" s="625"/>
      <c r="J118" s="7"/>
      <c r="K118" s="846"/>
      <c r="L118" s="846"/>
      <c r="M118" s="846"/>
    </row>
    <row r="119" spans="1:14" ht="5.0999999999999996" customHeight="1" thickTop="1" thickBot="1" x14ac:dyDescent="0.3">
      <c r="A119" s="249"/>
      <c r="B119" s="652"/>
      <c r="C119" s="653"/>
      <c r="D119" s="210"/>
      <c r="E119" s="210"/>
      <c r="F119" s="252"/>
      <c r="G119" s="207"/>
      <c r="H119" s="625"/>
      <c r="I119" s="625"/>
      <c r="J119" s="7"/>
      <c r="K119" s="846"/>
      <c r="L119" s="846"/>
      <c r="M119" s="846"/>
    </row>
    <row r="120" spans="1:14" ht="20.100000000000001" customHeight="1" thickTop="1" thickBot="1" x14ac:dyDescent="0.3">
      <c r="A120" s="249"/>
      <c r="B120" s="727" t="s">
        <v>478</v>
      </c>
      <c r="C120" s="728"/>
      <c r="D120" s="436">
        <v>1</v>
      </c>
      <c r="E120" s="521"/>
      <c r="F120" s="206">
        <f>IF(FWY_Ref!G67=1,FWY_Setup!D120,IF(FWY_Ref!G67=2,IF(E120&lt;&gt;"",FWY_Setup!E120,D120),"SELECT VALUE"))</f>
        <v>1</v>
      </c>
      <c r="G120" s="207"/>
      <c r="H120" s="7"/>
      <c r="I120" s="130"/>
      <c r="J120" s="7"/>
      <c r="K120" s="846"/>
      <c r="L120" s="846"/>
      <c r="M120" s="846"/>
    </row>
    <row r="121" spans="1:14" ht="20.100000000000001" customHeight="1" thickTop="1" thickBot="1" x14ac:dyDescent="0.3">
      <c r="A121" s="7"/>
      <c r="B121" s="727" t="s">
        <v>477</v>
      </c>
      <c r="C121" s="728"/>
      <c r="D121" s="435">
        <v>1</v>
      </c>
      <c r="E121" s="432"/>
      <c r="F121" s="206">
        <f>IF(FWY_Ref!G68=1,FWY_Setup!D121,IF(FWY_Ref!G68=2,IF(E121&lt;&gt;"",FWY_Setup!E121,D121),"SELECT VALUE"))</f>
        <v>1</v>
      </c>
      <c r="G121" s="251"/>
      <c r="H121" s="7"/>
      <c r="I121" s="130"/>
      <c r="J121" s="7"/>
      <c r="K121" s="846"/>
      <c r="L121" s="846"/>
      <c r="M121" s="846"/>
    </row>
    <row r="122" spans="1:14" ht="20.100000000000001" customHeight="1" thickTop="1" thickBot="1" x14ac:dyDescent="0.3">
      <c r="A122" s="249"/>
      <c r="B122" s="727" t="s">
        <v>476</v>
      </c>
      <c r="C122" s="728"/>
      <c r="D122" s="45">
        <v>1</v>
      </c>
      <c r="E122" s="97"/>
      <c r="F122" s="206">
        <f>IF(FWY_Ref!G69=1,FWY_Setup!D122,IF(FWY_Ref!G69=2,IF(E122&lt;&gt;"",FWY_Setup!E122,D122),"SELECT VALUE"))</f>
        <v>1</v>
      </c>
      <c r="G122" s="207"/>
      <c r="H122" s="429"/>
      <c r="I122" s="434"/>
      <c r="J122" s="7"/>
      <c r="K122" s="846"/>
      <c r="L122" s="846"/>
      <c r="M122" s="846"/>
    </row>
    <row r="123" spans="1:14" ht="20.100000000000001" customHeight="1" thickTop="1" thickBot="1" x14ac:dyDescent="0.3">
      <c r="A123" s="249"/>
      <c r="B123" s="727" t="s">
        <v>475</v>
      </c>
      <c r="C123" s="728"/>
      <c r="D123" s="315">
        <v>1</v>
      </c>
      <c r="E123" s="316"/>
      <c r="F123" s="206">
        <f>IF(FWY_Ref!G68=1,FWY_Setup!D123,IF(FWY_Ref!G68=2,IF(E123&lt;&gt;"",FWY_Setup!E123,D123),"SELECT VALUE"))</f>
        <v>1</v>
      </c>
      <c r="G123" s="251"/>
      <c r="H123" s="7"/>
      <c r="I123" s="130"/>
      <c r="J123" s="7"/>
      <c r="K123" s="846"/>
      <c r="L123" s="846"/>
      <c r="M123" s="846"/>
      <c r="N123" s="376"/>
    </row>
    <row r="124" spans="1:14" ht="20.100000000000001" customHeight="1" thickTop="1" thickBot="1" x14ac:dyDescent="0.3">
      <c r="A124" s="7"/>
      <c r="B124" s="727" t="s">
        <v>474</v>
      </c>
      <c r="C124" s="845"/>
      <c r="D124" s="433">
        <v>1</v>
      </c>
      <c r="E124" s="432"/>
      <c r="F124" s="206">
        <f>IF(FWY_Ref!G69=1,FWY_Setup!D124,IF(FWY_Ref!G69=2,IF(E124&lt;&gt;"",FWY_Setup!E124,D124),"SELECT VALUE"))</f>
        <v>1</v>
      </c>
      <c r="G124" s="7"/>
      <c r="H124" s="625"/>
      <c r="I124" s="625"/>
      <c r="J124" s="7"/>
      <c r="K124" s="430"/>
      <c r="L124" s="430"/>
      <c r="M124" s="430"/>
      <c r="N124" s="376"/>
    </row>
    <row r="125" spans="1:14" ht="15.75" thickTop="1" x14ac:dyDescent="0.25">
      <c r="A125" s="7"/>
      <c r="B125" s="408"/>
      <c r="C125" s="7"/>
      <c r="D125" s="431"/>
      <c r="E125" s="250"/>
      <c r="F125" s="250"/>
      <c r="G125" s="207"/>
      <c r="H125" s="7"/>
      <c r="I125" s="7"/>
      <c r="J125" s="7"/>
      <c r="K125" s="430"/>
      <c r="L125" s="430"/>
      <c r="M125" s="430"/>
      <c r="N125" s="376"/>
    </row>
    <row r="126" spans="1:14" x14ac:dyDescent="0.25">
      <c r="A126" s="7"/>
      <c r="B126" s="408"/>
      <c r="C126" s="123"/>
      <c r="D126" s="429"/>
      <c r="E126" s="7"/>
      <c r="F126" s="7"/>
      <c r="G126" s="207"/>
      <c r="H126" s="625"/>
      <c r="I126" s="625"/>
      <c r="J126" s="7"/>
      <c r="K126" s="846"/>
      <c r="L126" s="846"/>
      <c r="M126" s="846"/>
    </row>
    <row r="127" spans="1:14" x14ac:dyDescent="0.25">
      <c r="A127" s="7"/>
      <c r="B127" s="408"/>
      <c r="C127" s="428"/>
      <c r="D127" s="330"/>
      <c r="E127" s="330"/>
      <c r="F127" s="344"/>
      <c r="G127" s="207"/>
      <c r="H127" s="7"/>
      <c r="I127" s="7"/>
      <c r="J127" s="7"/>
      <c r="K127" s="846"/>
      <c r="L127" s="846"/>
      <c r="M127" s="846"/>
    </row>
    <row r="128" spans="1:14" x14ac:dyDescent="0.25">
      <c r="A128" s="7"/>
      <c r="B128" s="408"/>
      <c r="C128" s="7"/>
      <c r="D128" s="330"/>
      <c r="E128" s="426"/>
      <c r="F128" s="344"/>
      <c r="G128" s="207"/>
      <c r="H128" s="7"/>
      <c r="I128" s="7"/>
      <c r="J128" s="7"/>
      <c r="K128" s="846"/>
      <c r="L128" s="846"/>
      <c r="M128" s="846"/>
    </row>
    <row r="129" spans="1:14" ht="15" customHeight="1" x14ac:dyDescent="0.25">
      <c r="A129" s="7"/>
      <c r="B129" s="408"/>
      <c r="C129" s="7"/>
      <c r="D129" s="330"/>
      <c r="E129" s="426"/>
      <c r="F129" s="344"/>
      <c r="G129" s="207"/>
      <c r="H129" s="7"/>
      <c r="I129" s="7"/>
      <c r="J129" s="7"/>
      <c r="K129" s="846"/>
      <c r="L129" s="846"/>
      <c r="M129" s="846"/>
    </row>
    <row r="130" spans="1:14" ht="15.75" customHeight="1" x14ac:dyDescent="0.25">
      <c r="A130" s="7"/>
      <c r="B130" s="408"/>
      <c r="C130" s="7"/>
      <c r="D130" s="330"/>
      <c r="E130" s="426"/>
      <c r="F130" s="344"/>
      <c r="G130" s="207"/>
      <c r="H130" s="7"/>
      <c r="I130" s="7"/>
      <c r="J130" s="7"/>
      <c r="K130" s="846"/>
      <c r="L130" s="846"/>
      <c r="M130" s="846"/>
      <c r="N130" s="216"/>
    </row>
    <row r="131" spans="1:14" ht="15.75" customHeight="1" x14ac:dyDescent="0.25">
      <c r="A131" s="7"/>
      <c r="B131" s="408"/>
      <c r="C131" s="7"/>
      <c r="D131" s="330"/>
      <c r="E131" s="426"/>
      <c r="F131" s="344"/>
      <c r="G131" s="207"/>
      <c r="H131" s="334"/>
      <c r="I131" s="334"/>
      <c r="J131" s="334"/>
      <c r="K131" s="846"/>
      <c r="L131" s="846"/>
      <c r="M131" s="846"/>
      <c r="N131" s="216"/>
    </row>
    <row r="132" spans="1:14" ht="15.75" customHeight="1" x14ac:dyDescent="0.25">
      <c r="A132" s="7"/>
      <c r="B132" s="408"/>
      <c r="C132" s="7"/>
      <c r="D132" s="330"/>
      <c r="E132" s="426"/>
      <c r="F132" s="344"/>
      <c r="G132" s="207"/>
      <c r="H132" s="334"/>
      <c r="I132" s="334"/>
      <c r="J132" s="334"/>
      <c r="K132" s="846"/>
      <c r="L132" s="846"/>
      <c r="M132" s="846"/>
      <c r="N132" s="216"/>
    </row>
    <row r="133" spans="1:14" ht="15.75" customHeight="1" x14ac:dyDescent="0.25">
      <c r="A133" s="7"/>
      <c r="B133" s="408"/>
      <c r="C133" s="7"/>
      <c r="D133" s="330"/>
      <c r="E133" s="426"/>
      <c r="F133" s="344"/>
      <c r="G133" s="207"/>
      <c r="H133" s="334"/>
      <c r="I133" s="334"/>
      <c r="J133" s="334"/>
      <c r="K133" s="846"/>
      <c r="L133" s="846"/>
      <c r="M133" s="846"/>
      <c r="N133" s="216"/>
    </row>
    <row r="134" spans="1:14" ht="15.75" customHeight="1" x14ac:dyDescent="0.25">
      <c r="A134" s="7"/>
      <c r="B134" s="408"/>
      <c r="C134" s="7"/>
      <c r="D134" s="330"/>
      <c r="E134" s="426"/>
      <c r="F134" s="344"/>
      <c r="G134" s="207"/>
      <c r="H134" s="216"/>
      <c r="I134" s="216"/>
      <c r="J134" s="216"/>
      <c r="K134" s="216"/>
      <c r="L134" s="216"/>
      <c r="M134" s="216"/>
      <c r="N134" s="216"/>
    </row>
    <row r="135" spans="1:14" ht="15.75" customHeight="1" x14ac:dyDescent="0.25">
      <c r="A135" s="7"/>
      <c r="B135" s="408"/>
      <c r="C135" s="7"/>
      <c r="D135" s="330"/>
      <c r="E135" s="426"/>
      <c r="F135" s="344"/>
      <c r="G135" s="207"/>
      <c r="H135" s="216"/>
      <c r="I135" s="216"/>
      <c r="J135" s="216"/>
      <c r="K135" s="216"/>
      <c r="L135" s="216"/>
      <c r="M135" s="216"/>
      <c r="N135" s="216"/>
    </row>
    <row r="136" spans="1:14" ht="15.75" customHeight="1" x14ac:dyDescent="0.25">
      <c r="A136" s="7"/>
      <c r="B136" s="408"/>
      <c r="C136" s="7"/>
      <c r="D136" s="330"/>
      <c r="E136" s="426"/>
      <c r="F136" s="344"/>
      <c r="G136" s="207"/>
      <c r="H136" s="216"/>
      <c r="I136" s="216"/>
      <c r="J136" s="216"/>
      <c r="K136" s="216"/>
      <c r="L136" s="216"/>
      <c r="M136" s="216"/>
      <c r="N136" s="216"/>
    </row>
    <row r="137" spans="1:14" ht="15.75" customHeight="1" x14ac:dyDescent="0.25">
      <c r="A137" s="7"/>
      <c r="B137" s="408"/>
      <c r="C137" s="7"/>
      <c r="D137" s="330"/>
      <c r="E137" s="426"/>
      <c r="F137" s="344"/>
      <c r="G137" s="207"/>
      <c r="H137" s="216"/>
      <c r="I137" s="216"/>
      <c r="J137" s="216"/>
      <c r="K137" s="216"/>
      <c r="L137" s="216"/>
      <c r="M137" s="216"/>
      <c r="N137" s="216"/>
    </row>
    <row r="138" spans="1:14" ht="15.75" customHeight="1" x14ac:dyDescent="0.25">
      <c r="A138" s="7"/>
      <c r="B138" s="408"/>
      <c r="C138" s="123"/>
      <c r="D138" s="344"/>
      <c r="E138" s="344"/>
      <c r="F138" s="344"/>
      <c r="G138" s="334" t="str">
        <f>IF(AND(E138&gt;=0.95,E138&lt;=1.05),IF(AND(E138&lt;&gt;1,FWY_Ref!$E$69=2),"Crash type proportions adjusted to sum to 100%",""),IF(FWY_Ref!$E$69=2,"Enter crash type proportions that sum to 100% or select HSM default values",""))</f>
        <v/>
      </c>
      <c r="H138" s="216"/>
      <c r="I138" s="216"/>
      <c r="J138" s="216"/>
      <c r="K138" s="216"/>
      <c r="L138" s="216"/>
      <c r="M138" s="216"/>
      <c r="N138" s="216"/>
    </row>
    <row r="139" spans="1:14" ht="15.75" customHeight="1" x14ac:dyDescent="0.25">
      <c r="A139" s="7"/>
      <c r="B139" s="408"/>
      <c r="C139" s="123"/>
      <c r="D139" s="344"/>
      <c r="E139" s="344"/>
      <c r="F139" s="344"/>
      <c r="G139" s="334"/>
    </row>
    <row r="140" spans="1:14" ht="15.75" customHeight="1" x14ac:dyDescent="0.25">
      <c r="A140" s="7"/>
      <c r="B140" s="408"/>
      <c r="C140" s="123"/>
      <c r="D140" s="344"/>
      <c r="E140" s="344"/>
      <c r="F140" s="344"/>
      <c r="G140" s="334"/>
    </row>
    <row r="141" spans="1:14" ht="15.75" customHeight="1" x14ac:dyDescent="0.25">
      <c r="A141" s="7"/>
      <c r="B141" s="408"/>
      <c r="C141" s="428"/>
      <c r="D141" s="344"/>
      <c r="E141" s="344"/>
      <c r="F141" s="344"/>
      <c r="G141" s="334"/>
    </row>
    <row r="142" spans="1:14" ht="15.75" customHeight="1" x14ac:dyDescent="0.25">
      <c r="A142" s="7"/>
      <c r="B142" s="408"/>
      <c r="C142" s="428"/>
      <c r="D142" s="344"/>
      <c r="E142" s="344"/>
      <c r="F142" s="344"/>
      <c r="G142" s="334"/>
    </row>
    <row r="143" spans="1:14" ht="15.75" customHeight="1" x14ac:dyDescent="0.25">
      <c r="A143" s="7"/>
      <c r="B143" s="408"/>
      <c r="C143" s="428"/>
      <c r="D143" s="344"/>
      <c r="E143" s="344"/>
      <c r="F143" s="344"/>
      <c r="G143" s="334"/>
    </row>
    <row r="144" spans="1:14" ht="15.75" customHeight="1" x14ac:dyDescent="0.25">
      <c r="A144" s="7"/>
      <c r="B144" s="408"/>
      <c r="C144" s="428"/>
      <c r="D144" s="344"/>
      <c r="E144" s="344"/>
      <c r="F144" s="344"/>
      <c r="G144" s="334"/>
    </row>
    <row r="145" spans="1:14" ht="15.75" customHeight="1" x14ac:dyDescent="0.25">
      <c r="A145" s="7"/>
      <c r="B145" s="408"/>
      <c r="C145" s="428"/>
      <c r="D145" s="344"/>
      <c r="E145" s="344"/>
      <c r="F145" s="344"/>
      <c r="G145" s="334"/>
    </row>
    <row r="146" spans="1:14" ht="15.75" customHeight="1" x14ac:dyDescent="0.25">
      <c r="A146" s="7"/>
      <c r="B146" s="408"/>
      <c r="C146" s="428"/>
      <c r="D146" s="344"/>
      <c r="E146" s="344"/>
      <c r="F146" s="344"/>
      <c r="G146" s="334"/>
    </row>
    <row r="147" spans="1:14" ht="15.75" customHeight="1" x14ac:dyDescent="0.25">
      <c r="A147" s="7"/>
      <c r="B147" s="408"/>
      <c r="C147" s="7"/>
      <c r="D147" s="344"/>
      <c r="E147" s="344"/>
      <c r="F147" s="344"/>
      <c r="G147" s="334"/>
    </row>
    <row r="148" spans="1:14" ht="15.75" customHeight="1" x14ac:dyDescent="0.25">
      <c r="A148" s="7"/>
      <c r="B148" s="408"/>
      <c r="C148" s="7"/>
      <c r="D148" s="344"/>
      <c r="E148" s="344"/>
      <c r="F148" s="344"/>
      <c r="G148" s="334"/>
    </row>
    <row r="149" spans="1:14" ht="15.75" customHeight="1" x14ac:dyDescent="0.25">
      <c r="A149" s="7"/>
      <c r="B149" s="408"/>
      <c r="C149" s="7"/>
      <c r="D149" s="344"/>
      <c r="E149" s="344"/>
      <c r="F149" s="344"/>
      <c r="G149" s="334"/>
    </row>
    <row r="150" spans="1:14" ht="15.75" customHeight="1" x14ac:dyDescent="0.25">
      <c r="A150" s="7"/>
      <c r="B150" s="408"/>
      <c r="C150" s="7"/>
      <c r="D150" s="344"/>
      <c r="E150" s="344"/>
      <c r="F150" s="344"/>
      <c r="G150" s="334"/>
      <c r="H150" s="216"/>
      <c r="I150" s="216"/>
      <c r="J150" s="216"/>
      <c r="K150" s="216"/>
      <c r="L150" s="216"/>
      <c r="M150" s="216"/>
      <c r="N150" s="216"/>
    </row>
    <row r="151" spans="1:14" ht="15.75" customHeight="1" x14ac:dyDescent="0.25">
      <c r="A151" s="7"/>
      <c r="B151" s="408"/>
      <c r="C151" s="7"/>
      <c r="D151" s="344"/>
      <c r="E151" s="344"/>
      <c r="F151" s="344"/>
      <c r="G151" s="334"/>
      <c r="H151" s="216"/>
      <c r="I151" s="216"/>
      <c r="J151" s="216"/>
      <c r="K151" s="216"/>
      <c r="L151" s="216"/>
      <c r="M151" s="216"/>
      <c r="N151" s="216"/>
    </row>
    <row r="152" spans="1:14" ht="15" customHeight="1" x14ac:dyDescent="0.25">
      <c r="A152" s="7"/>
      <c r="B152" s="408"/>
      <c r="C152" s="123"/>
      <c r="D152" s="344"/>
      <c r="E152" s="344"/>
      <c r="F152" s="344"/>
      <c r="G152" s="334" t="str">
        <f>IF(AND(E152&gt;=0.95,E152&lt;=1.05),IF(AND(E152&lt;&gt;1,FWY_Ref!$E$69=2),"Crash type proportions adjusted to sum to 100%",""),IF(FWY_Ref!$E$69=2,"Enter crash type proportions that sum to 100% or select HSM default values",""))</f>
        <v/>
      </c>
      <c r="H152" s="216"/>
      <c r="I152" s="216"/>
      <c r="J152" s="216"/>
      <c r="K152" s="216"/>
      <c r="L152" s="216"/>
      <c r="M152" s="216"/>
      <c r="N152" s="216"/>
    </row>
    <row r="153" spans="1:14" ht="5.0999999999999996" customHeight="1" x14ac:dyDescent="0.25">
      <c r="A153" s="7"/>
      <c r="B153" s="391"/>
      <c r="C153" s="123"/>
      <c r="D153" s="344"/>
      <c r="E153" s="344"/>
      <c r="F153" s="344"/>
      <c r="G153" s="341"/>
    </row>
    <row r="154" spans="1:14" ht="15.75" customHeight="1" x14ac:dyDescent="0.25">
      <c r="A154" s="7"/>
      <c r="B154" s="425"/>
      <c r="C154" s="123"/>
      <c r="D154" s="344"/>
      <c r="E154" s="344"/>
      <c r="F154" s="427"/>
      <c r="G154" s="7"/>
    </row>
    <row r="155" spans="1:14" x14ac:dyDescent="0.25">
      <c r="A155" s="7"/>
      <c r="B155" s="425"/>
      <c r="C155" s="123"/>
      <c r="D155" s="344"/>
      <c r="E155" s="426"/>
      <c r="F155" s="344"/>
      <c r="G155" s="207"/>
    </row>
    <row r="156" spans="1:14" x14ac:dyDescent="0.25">
      <c r="A156" s="7"/>
      <c r="B156" s="425"/>
      <c r="C156" s="7"/>
      <c r="D156" s="344"/>
      <c r="E156" s="426"/>
      <c r="F156" s="344"/>
      <c r="G156" s="207"/>
    </row>
    <row r="157" spans="1:14" x14ac:dyDescent="0.25">
      <c r="A157" s="7"/>
      <c r="B157" s="425"/>
      <c r="C157" s="7"/>
      <c r="D157" s="344"/>
      <c r="E157" s="426"/>
      <c r="F157" s="344"/>
      <c r="G157" s="207"/>
      <c r="H157" s="217"/>
      <c r="I157" s="217"/>
      <c r="J157" s="217"/>
      <c r="K157" s="217"/>
      <c r="L157" s="217"/>
      <c r="M157" s="217"/>
      <c r="N157" s="217"/>
    </row>
    <row r="158" spans="1:14" x14ac:dyDescent="0.25">
      <c r="A158" s="7"/>
      <c r="B158" s="425"/>
      <c r="C158" s="7"/>
      <c r="D158" s="344"/>
      <c r="E158" s="426"/>
      <c r="F158" s="344"/>
      <c r="G158" s="207"/>
      <c r="H158" s="217"/>
      <c r="I158" s="217"/>
      <c r="J158" s="217"/>
      <c r="K158" s="217"/>
      <c r="L158" s="217"/>
      <c r="M158" s="217"/>
      <c r="N158" s="217"/>
    </row>
    <row r="159" spans="1:14" x14ac:dyDescent="0.25">
      <c r="A159" s="7"/>
      <c r="B159" s="425"/>
      <c r="C159" s="7"/>
      <c r="D159" s="344"/>
      <c r="E159" s="426"/>
      <c r="F159" s="344"/>
      <c r="G159" s="207"/>
      <c r="H159" s="217"/>
      <c r="I159" s="217"/>
      <c r="J159" s="217"/>
      <c r="K159" s="217"/>
      <c r="L159" s="217"/>
      <c r="M159" s="217"/>
      <c r="N159" s="217"/>
    </row>
    <row r="160" spans="1:14" x14ac:dyDescent="0.25">
      <c r="A160" s="7"/>
      <c r="B160" s="425"/>
      <c r="C160" s="7"/>
      <c r="D160" s="344"/>
      <c r="E160" s="344"/>
      <c r="F160" s="344"/>
      <c r="G160" s="424"/>
      <c r="H160" s="217"/>
      <c r="I160" s="217"/>
      <c r="J160" s="217"/>
      <c r="K160" s="217"/>
      <c r="L160" s="217"/>
      <c r="M160" s="217"/>
      <c r="N160" s="217"/>
    </row>
    <row r="161" spans="1:14" x14ac:dyDescent="0.25">
      <c r="A161" s="207"/>
      <c r="B161" s="425"/>
      <c r="C161" s="123"/>
      <c r="D161" s="344"/>
      <c r="E161" s="344"/>
      <c r="F161" s="344"/>
      <c r="G161" s="424" t="str">
        <f>IF(AND(E160&gt;=0.95,E160&lt;=1.05),IF(AND(E160&lt;&gt;1,FWY_Ref!E73=2),"Crash severity proportions adjusted to sum to 100%",""),IF(FWY_Ref!E73=2,"Enter crash severity proportions that sum to 100% or select HSM default values",""))</f>
        <v/>
      </c>
      <c r="H161" s="217"/>
      <c r="I161" s="217"/>
      <c r="J161" s="217"/>
      <c r="K161" s="217"/>
      <c r="L161" s="217"/>
      <c r="M161" s="217"/>
      <c r="N161" s="217"/>
    </row>
    <row r="162" spans="1:14" x14ac:dyDescent="0.25">
      <c r="A162" s="7"/>
      <c r="B162" s="425"/>
      <c r="C162" s="7"/>
      <c r="D162" s="7"/>
      <c r="E162" s="7"/>
      <c r="F162" s="7"/>
      <c r="G162" s="7"/>
    </row>
    <row r="163" spans="1:14" x14ac:dyDescent="0.25">
      <c r="A163" s="7"/>
      <c r="B163" s="425"/>
      <c r="C163" s="123"/>
      <c r="D163" s="344"/>
      <c r="E163" s="426"/>
      <c r="F163" s="344"/>
      <c r="G163" s="207"/>
    </row>
    <row r="164" spans="1:14" x14ac:dyDescent="0.25">
      <c r="A164" s="7"/>
      <c r="B164" s="425"/>
      <c r="C164" s="7"/>
      <c r="D164" s="344"/>
      <c r="E164" s="426"/>
      <c r="F164" s="344"/>
      <c r="G164" s="207"/>
    </row>
    <row r="165" spans="1:14" x14ac:dyDescent="0.25">
      <c r="A165" s="7"/>
      <c r="B165" s="425"/>
      <c r="C165" s="7"/>
      <c r="D165" s="344"/>
      <c r="E165" s="426"/>
      <c r="F165" s="344"/>
      <c r="G165" s="207"/>
      <c r="H165" s="217"/>
      <c r="I165" s="217"/>
      <c r="J165" s="217"/>
      <c r="K165" s="217"/>
      <c r="L165" s="217"/>
      <c r="M165" s="217"/>
      <c r="N165" s="217"/>
    </row>
    <row r="166" spans="1:14" x14ac:dyDescent="0.25">
      <c r="A166" s="7"/>
      <c r="B166" s="425"/>
      <c r="C166" s="7"/>
      <c r="D166" s="344"/>
      <c r="E166" s="426"/>
      <c r="F166" s="344"/>
      <c r="G166" s="207"/>
      <c r="H166" s="217"/>
      <c r="I166" s="217"/>
      <c r="J166" s="217"/>
      <c r="K166" s="217"/>
      <c r="L166" s="217"/>
      <c r="M166" s="217"/>
      <c r="N166" s="217"/>
    </row>
    <row r="167" spans="1:14" x14ac:dyDescent="0.25">
      <c r="A167" s="7"/>
      <c r="B167" s="425"/>
      <c r="C167" s="7"/>
      <c r="D167" s="344"/>
      <c r="E167" s="426"/>
      <c r="F167" s="344"/>
      <c r="G167" s="207"/>
      <c r="H167" s="217"/>
      <c r="I167" s="217"/>
      <c r="J167" s="217"/>
      <c r="K167" s="217"/>
      <c r="L167" s="217"/>
      <c r="M167" s="217"/>
      <c r="N167" s="217"/>
    </row>
    <row r="168" spans="1:14" x14ac:dyDescent="0.25">
      <c r="A168" s="7"/>
      <c r="B168" s="425"/>
      <c r="C168" s="7"/>
      <c r="D168" s="344"/>
      <c r="E168" s="344"/>
      <c r="F168" s="344"/>
      <c r="G168" s="424"/>
      <c r="H168" s="217"/>
      <c r="I168" s="217"/>
      <c r="J168" s="217"/>
      <c r="K168" s="217"/>
      <c r="L168" s="217"/>
      <c r="M168" s="217"/>
      <c r="N168" s="217"/>
    </row>
    <row r="169" spans="1:14" x14ac:dyDescent="0.25">
      <c r="A169" s="7"/>
      <c r="B169" s="425"/>
      <c r="C169" s="123"/>
      <c r="D169" s="344"/>
      <c r="E169" s="344"/>
      <c r="F169" s="344"/>
      <c r="G169" s="424" t="str">
        <f>IF(AND(E168&gt;=0.95,E168&lt;=1.05),IF(AND(E168&lt;&gt;1,FWY_Ref!E73=2),"Crash severity proportions adjusted to sum to 100%",""),IF(FWY_Ref!E73=2,"Enter crash severity proportions that sum to 100% or select HSM default values",""))</f>
        <v/>
      </c>
      <c r="H169" s="217"/>
      <c r="I169" s="217"/>
      <c r="J169" s="217"/>
      <c r="K169" s="217"/>
      <c r="L169" s="217"/>
      <c r="M169" s="217"/>
      <c r="N169" s="217"/>
    </row>
    <row r="170" spans="1:14" x14ac:dyDescent="0.25">
      <c r="A170" s="7"/>
      <c r="B170" s="391"/>
      <c r="C170" s="123"/>
      <c r="D170" s="344"/>
      <c r="E170" s="344"/>
      <c r="F170" s="344"/>
      <c r="G170" s="341"/>
    </row>
    <row r="171" spans="1:14" x14ac:dyDescent="0.25">
      <c r="B171" s="376"/>
      <c r="D171" s="376"/>
      <c r="F171" s="376"/>
    </row>
    <row r="198" spans="2:3" x14ac:dyDescent="0.25">
      <c r="B198" t="s">
        <v>350</v>
      </c>
      <c r="C198">
        <f>FWY_Ref!E67</f>
        <v>0</v>
      </c>
    </row>
    <row r="199" spans="2:3" x14ac:dyDescent="0.25">
      <c r="B199" t="s">
        <v>351</v>
      </c>
      <c r="C199">
        <f>FWY_Ref!G67</f>
        <v>1</v>
      </c>
    </row>
    <row r="200" spans="2:3" x14ac:dyDescent="0.25">
      <c r="B200" t="s">
        <v>335</v>
      </c>
      <c r="C200">
        <f>FWY_Ref!E69</f>
        <v>0</v>
      </c>
    </row>
    <row r="201" spans="2:3" x14ac:dyDescent="0.25">
      <c r="B201" t="s">
        <v>336</v>
      </c>
      <c r="C201">
        <f>FWY_Ref!E73</f>
        <v>0</v>
      </c>
    </row>
  </sheetData>
  <mergeCells count="27">
    <mergeCell ref="B4:C4"/>
    <mergeCell ref="B119:C119"/>
    <mergeCell ref="B111:B115"/>
    <mergeCell ref="B5:B7"/>
    <mergeCell ref="B9:B10"/>
    <mergeCell ref="B123:C123"/>
    <mergeCell ref="H126:I126"/>
    <mergeCell ref="B124:C124"/>
    <mergeCell ref="K126:M133"/>
    <mergeCell ref="K117:M123"/>
    <mergeCell ref="H124:I124"/>
    <mergeCell ref="D2:E2"/>
    <mergeCell ref="H118:I119"/>
    <mergeCell ref="B122:C122"/>
    <mergeCell ref="B31:B37"/>
    <mergeCell ref="B53:B100"/>
    <mergeCell ref="B120:C120"/>
    <mergeCell ref="B121:C121"/>
    <mergeCell ref="B118:C118"/>
    <mergeCell ref="D104:D105"/>
    <mergeCell ref="F104:F105"/>
    <mergeCell ref="B12:B13"/>
    <mergeCell ref="B15:B16"/>
    <mergeCell ref="B104:B109"/>
    <mergeCell ref="B20:C20"/>
    <mergeCell ref="B3:C3"/>
    <mergeCell ref="B19:C19"/>
  </mergeCells>
  <conditionalFormatting sqref="G138:N138">
    <cfRule type="expression" dxfId="9" priority="8">
      <formula>AND($E$138&gt;=0.95,$E$138&lt;=1.05,$C$200=2)</formula>
    </cfRule>
    <cfRule type="expression" dxfId="8" priority="9">
      <formula>AND(OR($E$138&lt;0.95,$E$138&gt;1.05),$C$200=2)</formula>
    </cfRule>
  </conditionalFormatting>
  <conditionalFormatting sqref="G152:N152">
    <cfRule type="expression" dxfId="7" priority="6">
      <formula>AND($E$152&gt;=0.95,$E$152&lt;=1.05,$C$200=2)</formula>
    </cfRule>
    <cfRule type="expression" dxfId="6" priority="7">
      <formula>AND(OR($E$152&lt;0.95,$E$152&gt;1.05),$C$200=2)</formula>
    </cfRule>
  </conditionalFormatting>
  <conditionalFormatting sqref="G161:N161 G169:N169">
    <cfRule type="expression" dxfId="5" priority="3">
      <formula>AND($E$160&gt;=0.95,$E$160&lt;=1.05,$C$201=2)</formula>
    </cfRule>
    <cfRule type="expression" dxfId="4" priority="4">
      <formula>AND(OR($E$160&lt;0.95,$E$160&gt;1.05),$C$201=2)</formula>
    </cfRule>
  </conditionalFormatting>
  <pageMargins left="0.7" right="0.7"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Group Box 1">
              <controlPr defaultSize="0" autoFill="0" autoPict="0">
                <anchor moveWithCells="1">
                  <from>
                    <xdr:col>3</xdr:col>
                    <xdr:colOff>9525</xdr:colOff>
                    <xdr:row>20</xdr:row>
                    <xdr:rowOff>9525</xdr:rowOff>
                  </from>
                  <to>
                    <xdr:col>5</xdr:col>
                    <xdr:colOff>0</xdr:colOff>
                    <xdr:row>21</xdr:row>
                    <xdr:rowOff>0</xdr:rowOff>
                  </to>
                </anchor>
              </controlPr>
            </control>
          </mc:Choice>
        </mc:AlternateContent>
        <mc:AlternateContent xmlns:mc="http://schemas.openxmlformats.org/markup-compatibility/2006">
          <mc:Choice Requires="x14">
            <control shapeId="16386" r:id="rId5" name="Option Button 2">
              <controlPr defaultSize="0" autoFill="0" autoLine="0" autoPict="0">
                <anchor moveWithCells="1">
                  <from>
                    <xdr:col>3</xdr:col>
                    <xdr:colOff>752475</xdr:colOff>
                    <xdr:row>20</xdr:row>
                    <xdr:rowOff>47625</xdr:rowOff>
                  </from>
                  <to>
                    <xdr:col>3</xdr:col>
                    <xdr:colOff>933450</xdr:colOff>
                    <xdr:row>20</xdr:row>
                    <xdr:rowOff>190500</xdr:rowOff>
                  </to>
                </anchor>
              </controlPr>
            </control>
          </mc:Choice>
        </mc:AlternateContent>
        <mc:AlternateContent xmlns:mc="http://schemas.openxmlformats.org/markup-compatibility/2006">
          <mc:Choice Requires="x14">
            <control shapeId="16387" r:id="rId6" name="Option Button 3">
              <controlPr defaultSize="0" autoFill="0" autoLine="0" autoPict="0">
                <anchor moveWithCells="1">
                  <from>
                    <xdr:col>4</xdr:col>
                    <xdr:colOff>695325</xdr:colOff>
                    <xdr:row>20</xdr:row>
                    <xdr:rowOff>38100</xdr:rowOff>
                  </from>
                  <to>
                    <xdr:col>4</xdr:col>
                    <xdr:colOff>904875</xdr:colOff>
                    <xdr:row>21</xdr:row>
                    <xdr:rowOff>0</xdr:rowOff>
                  </to>
                </anchor>
              </controlPr>
            </control>
          </mc:Choice>
        </mc:AlternateContent>
        <mc:AlternateContent xmlns:mc="http://schemas.openxmlformats.org/markup-compatibility/2006">
          <mc:Choice Requires="x14">
            <control shapeId="16388" r:id="rId7" name="Group Box 4">
              <controlPr defaultSize="0" autoFill="0" autoPict="0">
                <anchor moveWithCells="1">
                  <from>
                    <xdr:col>3</xdr:col>
                    <xdr:colOff>9525</xdr:colOff>
                    <xdr:row>22</xdr:row>
                    <xdr:rowOff>9525</xdr:rowOff>
                  </from>
                  <to>
                    <xdr:col>5</xdr:col>
                    <xdr:colOff>0</xdr:colOff>
                    <xdr:row>22</xdr:row>
                    <xdr:rowOff>238125</xdr:rowOff>
                  </to>
                </anchor>
              </controlPr>
            </control>
          </mc:Choice>
        </mc:AlternateContent>
        <mc:AlternateContent xmlns:mc="http://schemas.openxmlformats.org/markup-compatibility/2006">
          <mc:Choice Requires="x14">
            <control shapeId="16389" r:id="rId8" name="Option Button 5">
              <controlPr defaultSize="0" autoFill="0" autoLine="0" autoPict="0">
                <anchor moveWithCells="1">
                  <from>
                    <xdr:col>3</xdr:col>
                    <xdr:colOff>752475</xdr:colOff>
                    <xdr:row>22</xdr:row>
                    <xdr:rowOff>19050</xdr:rowOff>
                  </from>
                  <to>
                    <xdr:col>4</xdr:col>
                    <xdr:colOff>0</xdr:colOff>
                    <xdr:row>22</xdr:row>
                    <xdr:rowOff>200025</xdr:rowOff>
                  </to>
                </anchor>
              </controlPr>
            </control>
          </mc:Choice>
        </mc:AlternateContent>
        <mc:AlternateContent xmlns:mc="http://schemas.openxmlformats.org/markup-compatibility/2006">
          <mc:Choice Requires="x14">
            <control shapeId="16390" r:id="rId9" name="Option Button 6">
              <controlPr defaultSize="0" autoFill="0" autoLine="0" autoPict="0">
                <anchor moveWithCells="1">
                  <from>
                    <xdr:col>4</xdr:col>
                    <xdr:colOff>695325</xdr:colOff>
                    <xdr:row>22</xdr:row>
                    <xdr:rowOff>19050</xdr:rowOff>
                  </from>
                  <to>
                    <xdr:col>4</xdr:col>
                    <xdr:colOff>914400</xdr:colOff>
                    <xdr:row>22</xdr:row>
                    <xdr:rowOff>200025</xdr:rowOff>
                  </to>
                </anchor>
              </controlPr>
            </control>
          </mc:Choice>
        </mc:AlternateContent>
        <mc:AlternateContent xmlns:mc="http://schemas.openxmlformats.org/markup-compatibility/2006">
          <mc:Choice Requires="x14">
            <control shapeId="16391" r:id="rId10" name="Group Box 7">
              <controlPr defaultSize="0" autoFill="0" autoPict="0">
                <anchor moveWithCells="1">
                  <from>
                    <xdr:col>3</xdr:col>
                    <xdr:colOff>9525</xdr:colOff>
                    <xdr:row>119</xdr:row>
                    <xdr:rowOff>9525</xdr:rowOff>
                  </from>
                  <to>
                    <xdr:col>5</xdr:col>
                    <xdr:colOff>0</xdr:colOff>
                    <xdr:row>120</xdr:row>
                    <xdr:rowOff>0</xdr:rowOff>
                  </to>
                </anchor>
              </controlPr>
            </control>
          </mc:Choice>
        </mc:AlternateContent>
        <mc:AlternateContent xmlns:mc="http://schemas.openxmlformats.org/markup-compatibility/2006">
          <mc:Choice Requires="x14">
            <control shapeId="16392" r:id="rId11" name="Group Box 8">
              <controlPr defaultSize="0" autoFill="0" autoPict="0">
                <anchor moveWithCells="1">
                  <from>
                    <xdr:col>2</xdr:col>
                    <xdr:colOff>1752600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6393" r:id="rId12" name="Option Button 9">
              <controlPr defaultSize="0" autoFill="0" autoLine="0" autoPict="0">
                <anchor moveWithCells="1">
                  <from>
                    <xdr:col>3</xdr:col>
                    <xdr:colOff>733425</xdr:colOff>
                    <xdr:row>8</xdr:row>
                    <xdr:rowOff>38100</xdr:rowOff>
                  </from>
                  <to>
                    <xdr:col>3</xdr:col>
                    <xdr:colOff>895350</xdr:colOff>
                    <xdr:row>8</xdr:row>
                    <xdr:rowOff>200025</xdr:rowOff>
                  </to>
                </anchor>
              </controlPr>
            </control>
          </mc:Choice>
        </mc:AlternateContent>
        <mc:AlternateContent xmlns:mc="http://schemas.openxmlformats.org/markup-compatibility/2006">
          <mc:Choice Requires="x14">
            <control shapeId="16394" r:id="rId13" name="Option Button 10">
              <controlPr defaultSize="0" autoFill="0" autoLine="0" autoPict="0">
                <anchor moveWithCells="1">
                  <from>
                    <xdr:col>4</xdr:col>
                    <xdr:colOff>704850</xdr:colOff>
                    <xdr:row>8</xdr:row>
                    <xdr:rowOff>38100</xdr:rowOff>
                  </from>
                  <to>
                    <xdr:col>4</xdr:col>
                    <xdr:colOff>876300</xdr:colOff>
                    <xdr:row>8</xdr:row>
                    <xdr:rowOff>190500</xdr:rowOff>
                  </to>
                </anchor>
              </controlPr>
            </control>
          </mc:Choice>
        </mc:AlternateContent>
        <mc:AlternateContent xmlns:mc="http://schemas.openxmlformats.org/markup-compatibility/2006">
          <mc:Choice Requires="x14">
            <control shapeId="16395" r:id="rId14" name="Group Box 11">
              <controlPr defaultSize="0" autoFill="0" autoPict="0">
                <anchor moveWithCells="1">
                  <from>
                    <xdr:col>3</xdr:col>
                    <xdr:colOff>0</xdr:colOff>
                    <xdr:row>9</xdr:row>
                    <xdr:rowOff>9525</xdr:rowOff>
                  </from>
                  <to>
                    <xdr:col>5</xdr:col>
                    <xdr:colOff>0</xdr:colOff>
                    <xdr:row>9</xdr:row>
                    <xdr:rowOff>238125</xdr:rowOff>
                  </to>
                </anchor>
              </controlPr>
            </control>
          </mc:Choice>
        </mc:AlternateContent>
        <mc:AlternateContent xmlns:mc="http://schemas.openxmlformats.org/markup-compatibility/2006">
          <mc:Choice Requires="x14">
            <control shapeId="16396" r:id="rId15" name="Option Button 12">
              <controlPr defaultSize="0" autoFill="0" autoLine="0" autoPict="0">
                <anchor moveWithCells="1">
                  <from>
                    <xdr:col>3</xdr:col>
                    <xdr:colOff>742950</xdr:colOff>
                    <xdr:row>9</xdr:row>
                    <xdr:rowOff>57150</xdr:rowOff>
                  </from>
                  <to>
                    <xdr:col>3</xdr:col>
                    <xdr:colOff>933450</xdr:colOff>
                    <xdr:row>9</xdr:row>
                    <xdr:rowOff>209550</xdr:rowOff>
                  </to>
                </anchor>
              </controlPr>
            </control>
          </mc:Choice>
        </mc:AlternateContent>
        <mc:AlternateContent xmlns:mc="http://schemas.openxmlformats.org/markup-compatibility/2006">
          <mc:Choice Requires="x14">
            <control shapeId="16397" r:id="rId16" name="Option Button 13">
              <controlPr defaultSize="0" autoFill="0" autoLine="0" autoPict="0">
                <anchor moveWithCells="1">
                  <from>
                    <xdr:col>4</xdr:col>
                    <xdr:colOff>704850</xdr:colOff>
                    <xdr:row>9</xdr:row>
                    <xdr:rowOff>38100</xdr:rowOff>
                  </from>
                  <to>
                    <xdr:col>4</xdr:col>
                    <xdr:colOff>914400</xdr:colOff>
                    <xdr:row>9</xdr:row>
                    <xdr:rowOff>200025</xdr:rowOff>
                  </to>
                </anchor>
              </controlPr>
            </control>
          </mc:Choice>
        </mc:AlternateContent>
        <mc:AlternateContent xmlns:mc="http://schemas.openxmlformats.org/markup-compatibility/2006">
          <mc:Choice Requires="x14">
            <control shapeId="16398" r:id="rId17" name="Group Box 14">
              <controlPr defaultSize="0" autoFill="0" autoPict="0">
                <anchor moveWithCells="1">
                  <from>
                    <xdr:col>2</xdr:col>
                    <xdr:colOff>1752600</xdr:colOff>
                    <xdr:row>11</xdr:row>
                    <xdr:rowOff>9525</xdr:rowOff>
                  </from>
                  <to>
                    <xdr:col>5</xdr:col>
                    <xdr:colOff>0</xdr:colOff>
                    <xdr:row>11</xdr:row>
                    <xdr:rowOff>238125</xdr:rowOff>
                  </to>
                </anchor>
              </controlPr>
            </control>
          </mc:Choice>
        </mc:AlternateContent>
        <mc:AlternateContent xmlns:mc="http://schemas.openxmlformats.org/markup-compatibility/2006">
          <mc:Choice Requires="x14">
            <control shapeId="16399" r:id="rId18" name="Option Button 15">
              <controlPr defaultSize="0" autoFill="0" autoLine="0" autoPict="0">
                <anchor moveWithCells="1">
                  <from>
                    <xdr:col>3</xdr:col>
                    <xdr:colOff>742950</xdr:colOff>
                    <xdr:row>11</xdr:row>
                    <xdr:rowOff>47625</xdr:rowOff>
                  </from>
                  <to>
                    <xdr:col>3</xdr:col>
                    <xdr:colOff>914400</xdr:colOff>
                    <xdr:row>11</xdr:row>
                    <xdr:rowOff>228600</xdr:rowOff>
                  </to>
                </anchor>
              </controlPr>
            </control>
          </mc:Choice>
        </mc:AlternateContent>
        <mc:AlternateContent xmlns:mc="http://schemas.openxmlformats.org/markup-compatibility/2006">
          <mc:Choice Requires="x14">
            <control shapeId="16400" r:id="rId19" name="Option Button 16">
              <controlPr defaultSize="0" autoFill="0" autoLine="0" autoPict="0">
                <anchor moveWithCells="1">
                  <from>
                    <xdr:col>4</xdr:col>
                    <xdr:colOff>704850</xdr:colOff>
                    <xdr:row>11</xdr:row>
                    <xdr:rowOff>57150</xdr:rowOff>
                  </from>
                  <to>
                    <xdr:col>4</xdr:col>
                    <xdr:colOff>895350</xdr:colOff>
                    <xdr:row>11</xdr:row>
                    <xdr:rowOff>200025</xdr:rowOff>
                  </to>
                </anchor>
              </controlPr>
            </control>
          </mc:Choice>
        </mc:AlternateContent>
        <mc:AlternateContent xmlns:mc="http://schemas.openxmlformats.org/markup-compatibility/2006">
          <mc:Choice Requires="x14">
            <control shapeId="16401" r:id="rId20" name="Group Box 17">
              <controlPr defaultSize="0" autoFill="0" autoPict="0">
                <anchor moveWithCells="1">
                  <from>
                    <xdr:col>3</xdr:col>
                    <xdr:colOff>9525</xdr:colOff>
                    <xdr:row>12</xdr:row>
                    <xdr:rowOff>9525</xdr:rowOff>
                  </from>
                  <to>
                    <xdr:col>5</xdr:col>
                    <xdr:colOff>0</xdr:colOff>
                    <xdr:row>12</xdr:row>
                    <xdr:rowOff>228600</xdr:rowOff>
                  </to>
                </anchor>
              </controlPr>
            </control>
          </mc:Choice>
        </mc:AlternateContent>
        <mc:AlternateContent xmlns:mc="http://schemas.openxmlformats.org/markup-compatibility/2006">
          <mc:Choice Requires="x14">
            <control shapeId="16402" r:id="rId21" name="Option Button 18">
              <controlPr defaultSize="0" autoFill="0" autoLine="0" autoPict="0">
                <anchor moveWithCells="1">
                  <from>
                    <xdr:col>3</xdr:col>
                    <xdr:colOff>752475</xdr:colOff>
                    <xdr:row>12</xdr:row>
                    <xdr:rowOff>38100</xdr:rowOff>
                  </from>
                  <to>
                    <xdr:col>3</xdr:col>
                    <xdr:colOff>933450</xdr:colOff>
                    <xdr:row>12</xdr:row>
                    <xdr:rowOff>190500</xdr:rowOff>
                  </to>
                </anchor>
              </controlPr>
            </control>
          </mc:Choice>
        </mc:AlternateContent>
        <mc:AlternateContent xmlns:mc="http://schemas.openxmlformats.org/markup-compatibility/2006">
          <mc:Choice Requires="x14">
            <control shapeId="16403" r:id="rId22" name="Option Button 19">
              <controlPr defaultSize="0" autoFill="0" autoLine="0" autoPict="0">
                <anchor moveWithCells="1">
                  <from>
                    <xdr:col>4</xdr:col>
                    <xdr:colOff>704850</xdr:colOff>
                    <xdr:row>12</xdr:row>
                    <xdr:rowOff>38100</xdr:rowOff>
                  </from>
                  <to>
                    <xdr:col>4</xdr:col>
                    <xdr:colOff>885825</xdr:colOff>
                    <xdr:row>12</xdr:row>
                    <xdr:rowOff>200025</xdr:rowOff>
                  </to>
                </anchor>
              </controlPr>
            </control>
          </mc:Choice>
        </mc:AlternateContent>
        <mc:AlternateContent xmlns:mc="http://schemas.openxmlformats.org/markup-compatibility/2006">
          <mc:Choice Requires="x14">
            <control shapeId="16404" r:id="rId23" name="Group Box 20">
              <controlPr defaultSize="0" autoFill="0" autoPict="0">
                <anchor moveWithCells="1">
                  <from>
                    <xdr:col>3</xdr:col>
                    <xdr:colOff>9525</xdr:colOff>
                    <xdr:row>14</xdr:row>
                    <xdr:rowOff>9525</xdr:rowOff>
                  </from>
                  <to>
                    <xdr:col>5</xdr:col>
                    <xdr:colOff>0</xdr:colOff>
                    <xdr:row>14</xdr:row>
                    <xdr:rowOff>238125</xdr:rowOff>
                  </to>
                </anchor>
              </controlPr>
            </control>
          </mc:Choice>
        </mc:AlternateContent>
        <mc:AlternateContent xmlns:mc="http://schemas.openxmlformats.org/markup-compatibility/2006">
          <mc:Choice Requires="x14">
            <control shapeId="16405" r:id="rId24" name="Option Button 21">
              <controlPr defaultSize="0" autoFill="0" autoLine="0" autoPict="0">
                <anchor moveWithCells="1">
                  <from>
                    <xdr:col>3</xdr:col>
                    <xdr:colOff>752475</xdr:colOff>
                    <xdr:row>14</xdr:row>
                    <xdr:rowOff>38100</xdr:rowOff>
                  </from>
                  <to>
                    <xdr:col>3</xdr:col>
                    <xdr:colOff>942975</xdr:colOff>
                    <xdr:row>14</xdr:row>
                    <xdr:rowOff>200025</xdr:rowOff>
                  </to>
                </anchor>
              </controlPr>
            </control>
          </mc:Choice>
        </mc:AlternateContent>
        <mc:AlternateContent xmlns:mc="http://schemas.openxmlformats.org/markup-compatibility/2006">
          <mc:Choice Requires="x14">
            <control shapeId="16406" r:id="rId25" name="Option Button 22">
              <controlPr defaultSize="0" autoFill="0" autoLine="0" autoPict="0">
                <anchor moveWithCells="1">
                  <from>
                    <xdr:col>4</xdr:col>
                    <xdr:colOff>704850</xdr:colOff>
                    <xdr:row>14</xdr:row>
                    <xdr:rowOff>28575</xdr:rowOff>
                  </from>
                  <to>
                    <xdr:col>4</xdr:col>
                    <xdr:colOff>876300</xdr:colOff>
                    <xdr:row>14</xdr:row>
                    <xdr:rowOff>190500</xdr:rowOff>
                  </to>
                </anchor>
              </controlPr>
            </control>
          </mc:Choice>
        </mc:AlternateContent>
        <mc:AlternateContent xmlns:mc="http://schemas.openxmlformats.org/markup-compatibility/2006">
          <mc:Choice Requires="x14">
            <control shapeId="16407" r:id="rId26" name="Group Box 23">
              <controlPr defaultSize="0" autoFill="0" autoPict="0">
                <anchor moveWithCells="1">
                  <from>
                    <xdr:col>3</xdr:col>
                    <xdr:colOff>0</xdr:colOff>
                    <xdr:row>15</xdr:row>
                    <xdr:rowOff>9525</xdr:rowOff>
                  </from>
                  <to>
                    <xdr:col>5</xdr:col>
                    <xdr:colOff>0</xdr:colOff>
                    <xdr:row>15</xdr:row>
                    <xdr:rowOff>238125</xdr:rowOff>
                  </to>
                </anchor>
              </controlPr>
            </control>
          </mc:Choice>
        </mc:AlternateContent>
        <mc:AlternateContent xmlns:mc="http://schemas.openxmlformats.org/markup-compatibility/2006">
          <mc:Choice Requires="x14">
            <control shapeId="16408" r:id="rId27" name="Option Button 24">
              <controlPr defaultSize="0" autoFill="0" autoLine="0" autoPict="0">
                <anchor moveWithCells="1">
                  <from>
                    <xdr:col>3</xdr:col>
                    <xdr:colOff>742950</xdr:colOff>
                    <xdr:row>15</xdr:row>
                    <xdr:rowOff>47625</xdr:rowOff>
                  </from>
                  <to>
                    <xdr:col>3</xdr:col>
                    <xdr:colOff>923925</xdr:colOff>
                    <xdr:row>15</xdr:row>
                    <xdr:rowOff>200025</xdr:rowOff>
                  </to>
                </anchor>
              </controlPr>
            </control>
          </mc:Choice>
        </mc:AlternateContent>
        <mc:AlternateContent xmlns:mc="http://schemas.openxmlformats.org/markup-compatibility/2006">
          <mc:Choice Requires="x14">
            <control shapeId="16409" r:id="rId28" name="Option Button 25">
              <controlPr defaultSize="0" autoFill="0" autoLine="0" autoPict="0">
                <anchor moveWithCells="1">
                  <from>
                    <xdr:col>4</xdr:col>
                    <xdr:colOff>695325</xdr:colOff>
                    <xdr:row>15</xdr:row>
                    <xdr:rowOff>38100</xdr:rowOff>
                  </from>
                  <to>
                    <xdr:col>4</xdr:col>
                    <xdr:colOff>876300</xdr:colOff>
                    <xdr:row>15</xdr:row>
                    <xdr:rowOff>200025</xdr:rowOff>
                  </to>
                </anchor>
              </controlPr>
            </control>
          </mc:Choice>
        </mc:AlternateContent>
        <mc:AlternateContent xmlns:mc="http://schemas.openxmlformats.org/markup-compatibility/2006">
          <mc:Choice Requires="x14">
            <control shapeId="16410" r:id="rId29" name="Group Box 26">
              <controlPr defaultSize="0" autoFill="0" autoPict="0">
                <anchor moveWithCells="1">
                  <from>
                    <xdr:col>3</xdr:col>
                    <xdr:colOff>9525</xdr:colOff>
                    <xdr:row>24</xdr:row>
                    <xdr:rowOff>9525</xdr:rowOff>
                  </from>
                  <to>
                    <xdr:col>5</xdr:col>
                    <xdr:colOff>0</xdr:colOff>
                    <xdr:row>25</xdr:row>
                    <xdr:rowOff>0</xdr:rowOff>
                  </to>
                </anchor>
              </controlPr>
            </control>
          </mc:Choice>
        </mc:AlternateContent>
        <mc:AlternateContent xmlns:mc="http://schemas.openxmlformats.org/markup-compatibility/2006">
          <mc:Choice Requires="x14">
            <control shapeId="16411" r:id="rId30" name="Option Button 27">
              <controlPr defaultSize="0" autoFill="0" autoLine="0" autoPict="0">
                <anchor moveWithCells="1">
                  <from>
                    <xdr:col>3</xdr:col>
                    <xdr:colOff>742950</xdr:colOff>
                    <xdr:row>24</xdr:row>
                    <xdr:rowOff>57150</xdr:rowOff>
                  </from>
                  <to>
                    <xdr:col>3</xdr:col>
                    <xdr:colOff>933450</xdr:colOff>
                    <xdr:row>24</xdr:row>
                    <xdr:rowOff>361950</xdr:rowOff>
                  </to>
                </anchor>
              </controlPr>
            </control>
          </mc:Choice>
        </mc:AlternateContent>
        <mc:AlternateContent xmlns:mc="http://schemas.openxmlformats.org/markup-compatibility/2006">
          <mc:Choice Requires="x14">
            <control shapeId="16412" r:id="rId31" name="Option Button 28">
              <controlPr defaultSize="0" autoFill="0" autoLine="0" autoPict="0">
                <anchor moveWithCells="1">
                  <from>
                    <xdr:col>4</xdr:col>
                    <xdr:colOff>695325</xdr:colOff>
                    <xdr:row>24</xdr:row>
                    <xdr:rowOff>57150</xdr:rowOff>
                  </from>
                  <to>
                    <xdr:col>4</xdr:col>
                    <xdr:colOff>876300</xdr:colOff>
                    <xdr:row>25</xdr:row>
                    <xdr:rowOff>0</xdr:rowOff>
                  </to>
                </anchor>
              </controlPr>
            </control>
          </mc:Choice>
        </mc:AlternateContent>
        <mc:AlternateContent xmlns:mc="http://schemas.openxmlformats.org/markup-compatibility/2006">
          <mc:Choice Requires="x14">
            <control shapeId="16413" r:id="rId32" name="Group Box 29">
              <controlPr defaultSize="0" autoFill="0" autoPict="0">
                <anchor moveWithCells="1">
                  <from>
                    <xdr:col>3</xdr:col>
                    <xdr:colOff>9525</xdr:colOff>
                    <xdr:row>26</xdr:row>
                    <xdr:rowOff>19050</xdr:rowOff>
                  </from>
                  <to>
                    <xdr:col>5</xdr:col>
                    <xdr:colOff>0</xdr:colOff>
                    <xdr:row>27</xdr:row>
                    <xdr:rowOff>9525</xdr:rowOff>
                  </to>
                </anchor>
              </controlPr>
            </control>
          </mc:Choice>
        </mc:AlternateContent>
        <mc:AlternateContent xmlns:mc="http://schemas.openxmlformats.org/markup-compatibility/2006">
          <mc:Choice Requires="x14">
            <control shapeId="16414" r:id="rId33" name="Option Button 30">
              <controlPr defaultSize="0" autoFill="0" autoLine="0" autoPict="0">
                <anchor moveWithCells="1">
                  <from>
                    <xdr:col>3</xdr:col>
                    <xdr:colOff>723900</xdr:colOff>
                    <xdr:row>26</xdr:row>
                    <xdr:rowOff>104775</xdr:rowOff>
                  </from>
                  <to>
                    <xdr:col>3</xdr:col>
                    <xdr:colOff>914400</xdr:colOff>
                    <xdr:row>27</xdr:row>
                    <xdr:rowOff>0</xdr:rowOff>
                  </to>
                </anchor>
              </controlPr>
            </control>
          </mc:Choice>
        </mc:AlternateContent>
        <mc:AlternateContent xmlns:mc="http://schemas.openxmlformats.org/markup-compatibility/2006">
          <mc:Choice Requires="x14">
            <control shapeId="16415" r:id="rId34" name="Option Button 31">
              <controlPr defaultSize="0" autoFill="0" autoLine="0" autoPict="0">
                <anchor moveWithCells="1">
                  <from>
                    <xdr:col>4</xdr:col>
                    <xdr:colOff>695325</xdr:colOff>
                    <xdr:row>26</xdr:row>
                    <xdr:rowOff>104775</xdr:rowOff>
                  </from>
                  <to>
                    <xdr:col>4</xdr:col>
                    <xdr:colOff>885825</xdr:colOff>
                    <xdr:row>27</xdr:row>
                    <xdr:rowOff>0</xdr:rowOff>
                  </to>
                </anchor>
              </controlPr>
            </control>
          </mc:Choice>
        </mc:AlternateContent>
        <mc:AlternateContent xmlns:mc="http://schemas.openxmlformats.org/markup-compatibility/2006">
          <mc:Choice Requires="x14">
            <control shapeId="16416" r:id="rId35" name="Group Box 32">
              <controlPr defaultSize="0" autoFill="0" autoPict="0">
                <anchor moveWithCells="1">
                  <from>
                    <xdr:col>3</xdr:col>
                    <xdr:colOff>9525</xdr:colOff>
                    <xdr:row>28</xdr:row>
                    <xdr:rowOff>9525</xdr:rowOff>
                  </from>
                  <to>
                    <xdr:col>5</xdr:col>
                    <xdr:colOff>0</xdr:colOff>
                    <xdr:row>29</xdr:row>
                    <xdr:rowOff>28575</xdr:rowOff>
                  </to>
                </anchor>
              </controlPr>
            </control>
          </mc:Choice>
        </mc:AlternateContent>
        <mc:AlternateContent xmlns:mc="http://schemas.openxmlformats.org/markup-compatibility/2006">
          <mc:Choice Requires="x14">
            <control shapeId="16417" r:id="rId36" name="Option Button 33">
              <controlPr defaultSize="0" autoFill="0" autoLine="0" autoPict="0">
                <anchor moveWithCells="1">
                  <from>
                    <xdr:col>3</xdr:col>
                    <xdr:colOff>723900</xdr:colOff>
                    <xdr:row>28</xdr:row>
                    <xdr:rowOff>47625</xdr:rowOff>
                  </from>
                  <to>
                    <xdr:col>3</xdr:col>
                    <xdr:colOff>914400</xdr:colOff>
                    <xdr:row>28</xdr:row>
                    <xdr:rowOff>200025</xdr:rowOff>
                  </to>
                </anchor>
              </controlPr>
            </control>
          </mc:Choice>
        </mc:AlternateContent>
        <mc:AlternateContent xmlns:mc="http://schemas.openxmlformats.org/markup-compatibility/2006">
          <mc:Choice Requires="x14">
            <control shapeId="16418" r:id="rId37" name="Option Button 34">
              <controlPr defaultSize="0" autoFill="0" autoLine="0" autoPict="0">
                <anchor moveWithCells="1">
                  <from>
                    <xdr:col>4</xdr:col>
                    <xdr:colOff>704850</xdr:colOff>
                    <xdr:row>28</xdr:row>
                    <xdr:rowOff>47625</xdr:rowOff>
                  </from>
                  <to>
                    <xdr:col>4</xdr:col>
                    <xdr:colOff>885825</xdr:colOff>
                    <xdr:row>29</xdr:row>
                    <xdr:rowOff>0</xdr:rowOff>
                  </to>
                </anchor>
              </controlPr>
            </control>
          </mc:Choice>
        </mc:AlternateContent>
        <mc:AlternateContent xmlns:mc="http://schemas.openxmlformats.org/markup-compatibility/2006">
          <mc:Choice Requires="x14">
            <control shapeId="16419" r:id="rId38" name="Group Box 35">
              <controlPr defaultSize="0" autoFill="0" autoPict="0">
                <anchor moveWithCells="1">
                  <from>
                    <xdr:col>3</xdr:col>
                    <xdr:colOff>9525</xdr:colOff>
                    <xdr:row>30</xdr:row>
                    <xdr:rowOff>9525</xdr:rowOff>
                  </from>
                  <to>
                    <xdr:col>5</xdr:col>
                    <xdr:colOff>0</xdr:colOff>
                    <xdr:row>30</xdr:row>
                    <xdr:rowOff>238125</xdr:rowOff>
                  </to>
                </anchor>
              </controlPr>
            </control>
          </mc:Choice>
        </mc:AlternateContent>
        <mc:AlternateContent xmlns:mc="http://schemas.openxmlformats.org/markup-compatibility/2006">
          <mc:Choice Requires="x14">
            <control shapeId="16420" r:id="rId39" name="Option Button 36">
              <controlPr defaultSize="0" autoFill="0" autoLine="0" autoPict="0">
                <anchor moveWithCells="1">
                  <from>
                    <xdr:col>3</xdr:col>
                    <xdr:colOff>733425</xdr:colOff>
                    <xdr:row>30</xdr:row>
                    <xdr:rowOff>28575</xdr:rowOff>
                  </from>
                  <to>
                    <xdr:col>3</xdr:col>
                    <xdr:colOff>952500</xdr:colOff>
                    <xdr:row>30</xdr:row>
                    <xdr:rowOff>200025</xdr:rowOff>
                  </to>
                </anchor>
              </controlPr>
            </control>
          </mc:Choice>
        </mc:AlternateContent>
        <mc:AlternateContent xmlns:mc="http://schemas.openxmlformats.org/markup-compatibility/2006">
          <mc:Choice Requires="x14">
            <control shapeId="16421" r:id="rId40" name="Option Button 37">
              <controlPr defaultSize="0" autoFill="0" autoLine="0" autoPict="0">
                <anchor moveWithCells="1">
                  <from>
                    <xdr:col>4</xdr:col>
                    <xdr:colOff>714375</xdr:colOff>
                    <xdr:row>30</xdr:row>
                    <xdr:rowOff>28575</xdr:rowOff>
                  </from>
                  <to>
                    <xdr:col>4</xdr:col>
                    <xdr:colOff>914400</xdr:colOff>
                    <xdr:row>30</xdr:row>
                    <xdr:rowOff>219075</xdr:rowOff>
                  </to>
                </anchor>
              </controlPr>
            </control>
          </mc:Choice>
        </mc:AlternateContent>
        <mc:AlternateContent xmlns:mc="http://schemas.openxmlformats.org/markup-compatibility/2006">
          <mc:Choice Requires="x14">
            <control shapeId="16422" r:id="rId41" name="Group Box 38">
              <controlPr defaultSize="0" autoFill="0" autoPict="0">
                <anchor moveWithCells="1">
                  <from>
                    <xdr:col>3</xdr:col>
                    <xdr:colOff>9525</xdr:colOff>
                    <xdr:row>101</xdr:row>
                    <xdr:rowOff>9525</xdr:rowOff>
                  </from>
                  <to>
                    <xdr:col>5</xdr:col>
                    <xdr:colOff>0</xdr:colOff>
                    <xdr:row>101</xdr:row>
                    <xdr:rowOff>238125</xdr:rowOff>
                  </to>
                </anchor>
              </controlPr>
            </control>
          </mc:Choice>
        </mc:AlternateContent>
        <mc:AlternateContent xmlns:mc="http://schemas.openxmlformats.org/markup-compatibility/2006">
          <mc:Choice Requires="x14">
            <control shapeId="16423" r:id="rId42" name="Option Button 39">
              <controlPr defaultSize="0" autoFill="0" autoLine="0" autoPict="0">
                <anchor moveWithCells="1">
                  <from>
                    <xdr:col>3</xdr:col>
                    <xdr:colOff>723900</xdr:colOff>
                    <xdr:row>101</xdr:row>
                    <xdr:rowOff>28575</xdr:rowOff>
                  </from>
                  <to>
                    <xdr:col>3</xdr:col>
                    <xdr:colOff>914400</xdr:colOff>
                    <xdr:row>101</xdr:row>
                    <xdr:rowOff>200025</xdr:rowOff>
                  </to>
                </anchor>
              </controlPr>
            </control>
          </mc:Choice>
        </mc:AlternateContent>
        <mc:AlternateContent xmlns:mc="http://schemas.openxmlformats.org/markup-compatibility/2006">
          <mc:Choice Requires="x14">
            <control shapeId="16424" r:id="rId43" name="Option Button 40">
              <controlPr defaultSize="0" autoFill="0" autoLine="0" autoPict="0">
                <anchor moveWithCells="1">
                  <from>
                    <xdr:col>4</xdr:col>
                    <xdr:colOff>704850</xdr:colOff>
                    <xdr:row>101</xdr:row>
                    <xdr:rowOff>38100</xdr:rowOff>
                  </from>
                  <to>
                    <xdr:col>4</xdr:col>
                    <xdr:colOff>895350</xdr:colOff>
                    <xdr:row>101</xdr:row>
                    <xdr:rowOff>200025</xdr:rowOff>
                  </to>
                </anchor>
              </controlPr>
            </control>
          </mc:Choice>
        </mc:AlternateContent>
        <mc:AlternateContent xmlns:mc="http://schemas.openxmlformats.org/markup-compatibility/2006">
          <mc:Choice Requires="x14">
            <control shapeId="16425" r:id="rId44" name="Group Box 41">
              <controlPr defaultSize="0" autoFill="0" autoPict="0">
                <anchor moveWithCells="1">
                  <from>
                    <xdr:col>3</xdr:col>
                    <xdr:colOff>9525</xdr:colOff>
                    <xdr:row>103</xdr:row>
                    <xdr:rowOff>9525</xdr:rowOff>
                  </from>
                  <to>
                    <xdr:col>5</xdr:col>
                    <xdr:colOff>0</xdr:colOff>
                    <xdr:row>104</xdr:row>
                    <xdr:rowOff>304800</xdr:rowOff>
                  </to>
                </anchor>
              </controlPr>
            </control>
          </mc:Choice>
        </mc:AlternateContent>
        <mc:AlternateContent xmlns:mc="http://schemas.openxmlformats.org/markup-compatibility/2006">
          <mc:Choice Requires="x14">
            <control shapeId="16426" r:id="rId45" name="Option Button 42">
              <controlPr defaultSize="0" autoFill="0" autoLine="0" autoPict="0">
                <anchor moveWithCells="1">
                  <from>
                    <xdr:col>3</xdr:col>
                    <xdr:colOff>723900</xdr:colOff>
                    <xdr:row>103</xdr:row>
                    <xdr:rowOff>171450</xdr:rowOff>
                  </from>
                  <to>
                    <xdr:col>3</xdr:col>
                    <xdr:colOff>914400</xdr:colOff>
                    <xdr:row>104</xdr:row>
                    <xdr:rowOff>123825</xdr:rowOff>
                  </to>
                </anchor>
              </controlPr>
            </control>
          </mc:Choice>
        </mc:AlternateContent>
        <mc:AlternateContent xmlns:mc="http://schemas.openxmlformats.org/markup-compatibility/2006">
          <mc:Choice Requires="x14">
            <control shapeId="16427" r:id="rId46" name="Option Button 43">
              <controlPr defaultSize="0" autoFill="0" autoLine="0" autoPict="0">
                <anchor moveWithCells="1">
                  <from>
                    <xdr:col>4</xdr:col>
                    <xdr:colOff>714375</xdr:colOff>
                    <xdr:row>103</xdr:row>
                    <xdr:rowOff>152400</xdr:rowOff>
                  </from>
                  <to>
                    <xdr:col>4</xdr:col>
                    <xdr:colOff>914400</xdr:colOff>
                    <xdr:row>104</xdr:row>
                    <xdr:rowOff>95250</xdr:rowOff>
                  </to>
                </anchor>
              </controlPr>
            </control>
          </mc:Choice>
        </mc:AlternateContent>
        <mc:AlternateContent xmlns:mc="http://schemas.openxmlformats.org/markup-compatibility/2006">
          <mc:Choice Requires="x14">
            <control shapeId="16428" r:id="rId47" name="Drop Down 44">
              <controlPr defaultSize="0" autoLine="0" autoPict="0">
                <anchor moveWithCells="1">
                  <from>
                    <xdr:col>4</xdr:col>
                    <xdr:colOff>47625</xdr:colOff>
                    <xdr:row>103</xdr:row>
                    <xdr:rowOff>190500</xdr:rowOff>
                  </from>
                  <to>
                    <xdr:col>4</xdr:col>
                    <xdr:colOff>714375</xdr:colOff>
                    <xdr:row>104</xdr:row>
                    <xdr:rowOff>95250</xdr:rowOff>
                  </to>
                </anchor>
              </controlPr>
            </control>
          </mc:Choice>
        </mc:AlternateContent>
        <mc:AlternateContent xmlns:mc="http://schemas.openxmlformats.org/markup-compatibility/2006">
          <mc:Choice Requires="x14">
            <control shapeId="16429" r:id="rId48" name="Group Box 45">
              <controlPr defaultSize="0" autoFill="0" autoPict="0">
                <anchor moveWithCells="1">
                  <from>
                    <xdr:col>3</xdr:col>
                    <xdr:colOff>9525</xdr:colOff>
                    <xdr:row>106</xdr:row>
                    <xdr:rowOff>9525</xdr:rowOff>
                  </from>
                  <to>
                    <xdr:col>5</xdr:col>
                    <xdr:colOff>0</xdr:colOff>
                    <xdr:row>106</xdr:row>
                    <xdr:rowOff>304800</xdr:rowOff>
                  </to>
                </anchor>
              </controlPr>
            </control>
          </mc:Choice>
        </mc:AlternateContent>
        <mc:AlternateContent xmlns:mc="http://schemas.openxmlformats.org/markup-compatibility/2006">
          <mc:Choice Requires="x14">
            <control shapeId="16430" r:id="rId49" name="Option Button 46">
              <controlPr defaultSize="0" autoFill="0" autoLine="0" autoPict="0">
                <anchor moveWithCells="1">
                  <from>
                    <xdr:col>3</xdr:col>
                    <xdr:colOff>723900</xdr:colOff>
                    <xdr:row>106</xdr:row>
                    <xdr:rowOff>38100</xdr:rowOff>
                  </from>
                  <to>
                    <xdr:col>3</xdr:col>
                    <xdr:colOff>904875</xdr:colOff>
                    <xdr:row>106</xdr:row>
                    <xdr:rowOff>247650</xdr:rowOff>
                  </to>
                </anchor>
              </controlPr>
            </control>
          </mc:Choice>
        </mc:AlternateContent>
        <mc:AlternateContent xmlns:mc="http://schemas.openxmlformats.org/markup-compatibility/2006">
          <mc:Choice Requires="x14">
            <control shapeId="16431" r:id="rId50" name="Option Button 47">
              <controlPr defaultSize="0" autoFill="0" autoLine="0" autoPict="0">
                <anchor moveWithCells="1">
                  <from>
                    <xdr:col>4</xdr:col>
                    <xdr:colOff>723900</xdr:colOff>
                    <xdr:row>106</xdr:row>
                    <xdr:rowOff>47625</xdr:rowOff>
                  </from>
                  <to>
                    <xdr:col>4</xdr:col>
                    <xdr:colOff>942975</xdr:colOff>
                    <xdr:row>106</xdr:row>
                    <xdr:rowOff>228600</xdr:rowOff>
                  </to>
                </anchor>
              </controlPr>
            </control>
          </mc:Choice>
        </mc:AlternateContent>
        <mc:AlternateContent xmlns:mc="http://schemas.openxmlformats.org/markup-compatibility/2006">
          <mc:Choice Requires="x14">
            <control shapeId="16432" r:id="rId51" name="Drop Down 48">
              <controlPr defaultSize="0" autoLine="0" autoPict="0">
                <anchor moveWithCells="1">
                  <from>
                    <xdr:col>4</xdr:col>
                    <xdr:colOff>38100</xdr:colOff>
                    <xdr:row>106</xdr:row>
                    <xdr:rowOff>47625</xdr:rowOff>
                  </from>
                  <to>
                    <xdr:col>4</xdr:col>
                    <xdr:colOff>704850</xdr:colOff>
                    <xdr:row>106</xdr:row>
                    <xdr:rowOff>247650</xdr:rowOff>
                  </to>
                </anchor>
              </controlPr>
            </control>
          </mc:Choice>
        </mc:AlternateContent>
        <mc:AlternateContent xmlns:mc="http://schemas.openxmlformats.org/markup-compatibility/2006">
          <mc:Choice Requires="x14">
            <control shapeId="16433" r:id="rId52" name="Group Box 49">
              <controlPr defaultSize="0" autoFill="0" autoPict="0">
                <anchor moveWithCells="1">
                  <from>
                    <xdr:col>3</xdr:col>
                    <xdr:colOff>9525</xdr:colOff>
                    <xdr:row>107</xdr:row>
                    <xdr:rowOff>9525</xdr:rowOff>
                  </from>
                  <to>
                    <xdr:col>5</xdr:col>
                    <xdr:colOff>0</xdr:colOff>
                    <xdr:row>107</xdr:row>
                    <xdr:rowOff>304800</xdr:rowOff>
                  </to>
                </anchor>
              </controlPr>
            </control>
          </mc:Choice>
        </mc:AlternateContent>
        <mc:AlternateContent xmlns:mc="http://schemas.openxmlformats.org/markup-compatibility/2006">
          <mc:Choice Requires="x14">
            <control shapeId="16434" r:id="rId53" name="Option Button 50">
              <controlPr defaultSize="0" autoFill="0" autoLine="0" autoPict="0">
                <anchor moveWithCells="1">
                  <from>
                    <xdr:col>3</xdr:col>
                    <xdr:colOff>723900</xdr:colOff>
                    <xdr:row>107</xdr:row>
                    <xdr:rowOff>28575</xdr:rowOff>
                  </from>
                  <to>
                    <xdr:col>3</xdr:col>
                    <xdr:colOff>914400</xdr:colOff>
                    <xdr:row>107</xdr:row>
                    <xdr:rowOff>228600</xdr:rowOff>
                  </to>
                </anchor>
              </controlPr>
            </control>
          </mc:Choice>
        </mc:AlternateContent>
        <mc:AlternateContent xmlns:mc="http://schemas.openxmlformats.org/markup-compatibility/2006">
          <mc:Choice Requires="x14">
            <control shapeId="16435" r:id="rId54" name="Option Button 51">
              <controlPr defaultSize="0" autoFill="0" autoLine="0" autoPict="0">
                <anchor moveWithCells="1">
                  <from>
                    <xdr:col>4</xdr:col>
                    <xdr:colOff>714375</xdr:colOff>
                    <xdr:row>107</xdr:row>
                    <xdr:rowOff>38100</xdr:rowOff>
                  </from>
                  <to>
                    <xdr:col>4</xdr:col>
                    <xdr:colOff>914400</xdr:colOff>
                    <xdr:row>107</xdr:row>
                    <xdr:rowOff>247650</xdr:rowOff>
                  </to>
                </anchor>
              </controlPr>
            </control>
          </mc:Choice>
        </mc:AlternateContent>
        <mc:AlternateContent xmlns:mc="http://schemas.openxmlformats.org/markup-compatibility/2006">
          <mc:Choice Requires="x14">
            <control shapeId="16436" r:id="rId55" name="Drop Down 52">
              <controlPr defaultSize="0" autoLine="0" autoPict="0">
                <anchor moveWithCells="1">
                  <from>
                    <xdr:col>4</xdr:col>
                    <xdr:colOff>38100</xdr:colOff>
                    <xdr:row>107</xdr:row>
                    <xdr:rowOff>47625</xdr:rowOff>
                  </from>
                  <to>
                    <xdr:col>4</xdr:col>
                    <xdr:colOff>704850</xdr:colOff>
                    <xdr:row>107</xdr:row>
                    <xdr:rowOff>247650</xdr:rowOff>
                  </to>
                </anchor>
              </controlPr>
            </control>
          </mc:Choice>
        </mc:AlternateContent>
        <mc:AlternateContent xmlns:mc="http://schemas.openxmlformats.org/markup-compatibility/2006">
          <mc:Choice Requires="x14">
            <control shapeId="16437" r:id="rId56" name="Group Box 53">
              <controlPr defaultSize="0" autoFill="0" autoPict="0">
                <anchor moveWithCells="1">
                  <from>
                    <xdr:col>3</xdr:col>
                    <xdr:colOff>9525</xdr:colOff>
                    <xdr:row>108</xdr:row>
                    <xdr:rowOff>9525</xdr:rowOff>
                  </from>
                  <to>
                    <xdr:col>4</xdr:col>
                    <xdr:colOff>952500</xdr:colOff>
                    <xdr:row>109</xdr:row>
                    <xdr:rowOff>0</xdr:rowOff>
                  </to>
                </anchor>
              </controlPr>
            </control>
          </mc:Choice>
        </mc:AlternateContent>
        <mc:AlternateContent xmlns:mc="http://schemas.openxmlformats.org/markup-compatibility/2006">
          <mc:Choice Requires="x14">
            <control shapeId="16438" r:id="rId57" name="Option Button 54">
              <controlPr defaultSize="0" autoFill="0" autoLine="0" autoPict="0">
                <anchor moveWithCells="1">
                  <from>
                    <xdr:col>3</xdr:col>
                    <xdr:colOff>733425</xdr:colOff>
                    <xdr:row>108</xdr:row>
                    <xdr:rowOff>95250</xdr:rowOff>
                  </from>
                  <to>
                    <xdr:col>3</xdr:col>
                    <xdr:colOff>942975</xdr:colOff>
                    <xdr:row>108</xdr:row>
                    <xdr:rowOff>209550</xdr:rowOff>
                  </to>
                </anchor>
              </controlPr>
            </control>
          </mc:Choice>
        </mc:AlternateContent>
        <mc:AlternateContent xmlns:mc="http://schemas.openxmlformats.org/markup-compatibility/2006">
          <mc:Choice Requires="x14">
            <control shapeId="16439" r:id="rId58" name="Option Button 55">
              <controlPr defaultSize="0" autoFill="0" autoLine="0" autoPict="0">
                <anchor moveWithCells="1">
                  <from>
                    <xdr:col>4</xdr:col>
                    <xdr:colOff>714375</xdr:colOff>
                    <xdr:row>108</xdr:row>
                    <xdr:rowOff>95250</xdr:rowOff>
                  </from>
                  <to>
                    <xdr:col>4</xdr:col>
                    <xdr:colOff>914400</xdr:colOff>
                    <xdr:row>108</xdr:row>
                    <xdr:rowOff>209550</xdr:rowOff>
                  </to>
                </anchor>
              </controlPr>
            </control>
          </mc:Choice>
        </mc:AlternateContent>
        <mc:AlternateContent xmlns:mc="http://schemas.openxmlformats.org/markup-compatibility/2006">
          <mc:Choice Requires="x14">
            <control shapeId="16440" r:id="rId59" name="Drop Down 56">
              <controlPr defaultSize="0" autoLine="0" autoPict="0">
                <anchor moveWithCells="1">
                  <from>
                    <xdr:col>4</xdr:col>
                    <xdr:colOff>38100</xdr:colOff>
                    <xdr:row>108</xdr:row>
                    <xdr:rowOff>57150</xdr:rowOff>
                  </from>
                  <to>
                    <xdr:col>4</xdr:col>
                    <xdr:colOff>704850</xdr:colOff>
                    <xdr:row>108</xdr:row>
                    <xdr:rowOff>266700</xdr:rowOff>
                  </to>
                </anchor>
              </controlPr>
            </control>
          </mc:Choice>
        </mc:AlternateContent>
        <mc:AlternateContent xmlns:mc="http://schemas.openxmlformats.org/markup-compatibility/2006">
          <mc:Choice Requires="x14">
            <control shapeId="16441" r:id="rId60" name="Group Box 57">
              <controlPr defaultSize="0" autoFill="0" autoPict="0">
                <anchor moveWithCells="1">
                  <from>
                    <xdr:col>3</xdr:col>
                    <xdr:colOff>9525</xdr:colOff>
                    <xdr:row>121</xdr:row>
                    <xdr:rowOff>9525</xdr:rowOff>
                  </from>
                  <to>
                    <xdr:col>5</xdr:col>
                    <xdr:colOff>0</xdr:colOff>
                    <xdr:row>122</xdr:row>
                    <xdr:rowOff>0</xdr:rowOff>
                  </to>
                </anchor>
              </controlPr>
            </control>
          </mc:Choice>
        </mc:AlternateContent>
        <mc:AlternateContent xmlns:mc="http://schemas.openxmlformats.org/markup-compatibility/2006">
          <mc:Choice Requires="x14">
            <control shapeId="16442" r:id="rId61" name="Option Button 58">
              <controlPr defaultSize="0" autoFill="0" autoLine="0" autoPict="0">
                <anchor moveWithCells="1">
                  <from>
                    <xdr:col>3</xdr:col>
                    <xdr:colOff>714375</xdr:colOff>
                    <xdr:row>121</xdr:row>
                    <xdr:rowOff>28575</xdr:rowOff>
                  </from>
                  <to>
                    <xdr:col>3</xdr:col>
                    <xdr:colOff>895350</xdr:colOff>
                    <xdr:row>121</xdr:row>
                    <xdr:rowOff>228600</xdr:rowOff>
                  </to>
                </anchor>
              </controlPr>
            </control>
          </mc:Choice>
        </mc:AlternateContent>
        <mc:AlternateContent xmlns:mc="http://schemas.openxmlformats.org/markup-compatibility/2006">
          <mc:Choice Requires="x14">
            <control shapeId="16443" r:id="rId62" name="Option Button 59">
              <controlPr defaultSize="0" autoFill="0" autoLine="0" autoPict="0">
                <anchor moveWithCells="1">
                  <from>
                    <xdr:col>4</xdr:col>
                    <xdr:colOff>714375</xdr:colOff>
                    <xdr:row>121</xdr:row>
                    <xdr:rowOff>28575</xdr:rowOff>
                  </from>
                  <to>
                    <xdr:col>4</xdr:col>
                    <xdr:colOff>914400</xdr:colOff>
                    <xdr:row>121</xdr:row>
                    <xdr:rowOff>219075</xdr:rowOff>
                  </to>
                </anchor>
              </controlPr>
            </control>
          </mc:Choice>
        </mc:AlternateContent>
        <mc:AlternateContent xmlns:mc="http://schemas.openxmlformats.org/markup-compatibility/2006">
          <mc:Choice Requires="x14">
            <control shapeId="16444" r:id="rId63" name="Group Box 60">
              <controlPr defaultSize="0" autoFill="0" autoPict="0">
                <anchor moveWithCells="1">
                  <from>
                    <xdr:col>3</xdr:col>
                    <xdr:colOff>9525</xdr:colOff>
                    <xdr:row>38</xdr:row>
                    <xdr:rowOff>9525</xdr:rowOff>
                  </from>
                  <to>
                    <xdr:col>5</xdr:col>
                    <xdr:colOff>0</xdr:colOff>
                    <xdr:row>38</xdr:row>
                    <xdr:rowOff>371475</xdr:rowOff>
                  </to>
                </anchor>
              </controlPr>
            </control>
          </mc:Choice>
        </mc:AlternateContent>
        <mc:AlternateContent xmlns:mc="http://schemas.openxmlformats.org/markup-compatibility/2006">
          <mc:Choice Requires="x14">
            <control shapeId="16445" r:id="rId64" name="Option Button 61">
              <controlPr defaultSize="0" autoFill="0" autoLine="0" autoPict="0">
                <anchor moveWithCells="1">
                  <from>
                    <xdr:col>3</xdr:col>
                    <xdr:colOff>723900</xdr:colOff>
                    <xdr:row>38</xdr:row>
                    <xdr:rowOff>104775</xdr:rowOff>
                  </from>
                  <to>
                    <xdr:col>3</xdr:col>
                    <xdr:colOff>914400</xdr:colOff>
                    <xdr:row>38</xdr:row>
                    <xdr:rowOff>257175</xdr:rowOff>
                  </to>
                </anchor>
              </controlPr>
            </control>
          </mc:Choice>
        </mc:AlternateContent>
        <mc:AlternateContent xmlns:mc="http://schemas.openxmlformats.org/markup-compatibility/2006">
          <mc:Choice Requires="x14">
            <control shapeId="16446" r:id="rId65" name="Option Button 62">
              <controlPr defaultSize="0" autoFill="0" autoLine="0" autoPict="0">
                <anchor moveWithCells="1">
                  <from>
                    <xdr:col>4</xdr:col>
                    <xdr:colOff>723900</xdr:colOff>
                    <xdr:row>38</xdr:row>
                    <xdr:rowOff>95250</xdr:rowOff>
                  </from>
                  <to>
                    <xdr:col>4</xdr:col>
                    <xdr:colOff>895350</xdr:colOff>
                    <xdr:row>38</xdr:row>
                    <xdr:rowOff>247650</xdr:rowOff>
                  </to>
                </anchor>
              </controlPr>
            </control>
          </mc:Choice>
        </mc:AlternateContent>
        <mc:AlternateContent xmlns:mc="http://schemas.openxmlformats.org/markup-compatibility/2006">
          <mc:Choice Requires="x14">
            <control shapeId="16447" r:id="rId66" name="Group Box 63">
              <controlPr defaultSize="0" autoFill="0" autoPict="0">
                <anchor moveWithCells="1">
                  <from>
                    <xdr:col>3</xdr:col>
                    <xdr:colOff>9525</xdr:colOff>
                    <xdr:row>120</xdr:row>
                    <xdr:rowOff>9525</xdr:rowOff>
                  </from>
                  <to>
                    <xdr:col>5</xdr:col>
                    <xdr:colOff>0</xdr:colOff>
                    <xdr:row>121</xdr:row>
                    <xdr:rowOff>9525</xdr:rowOff>
                  </to>
                </anchor>
              </controlPr>
            </control>
          </mc:Choice>
        </mc:AlternateContent>
        <mc:AlternateContent xmlns:mc="http://schemas.openxmlformats.org/markup-compatibility/2006">
          <mc:Choice Requires="x14">
            <control shapeId="16448" r:id="rId67" name="Group Box 64">
              <controlPr defaultSize="0" autoFill="0" autoPict="0">
                <anchor moveWithCells="1">
                  <from>
                    <xdr:col>3</xdr:col>
                    <xdr:colOff>0</xdr:colOff>
                    <xdr:row>122</xdr:row>
                    <xdr:rowOff>9525</xdr:rowOff>
                  </from>
                  <to>
                    <xdr:col>4</xdr:col>
                    <xdr:colOff>952500</xdr:colOff>
                    <xdr:row>123</xdr:row>
                    <xdr:rowOff>0</xdr:rowOff>
                  </to>
                </anchor>
              </controlPr>
            </control>
          </mc:Choice>
        </mc:AlternateContent>
        <mc:AlternateContent xmlns:mc="http://schemas.openxmlformats.org/markup-compatibility/2006">
          <mc:Choice Requires="x14">
            <control shapeId="16449" r:id="rId68" name="Option Button 65">
              <controlPr defaultSize="0" autoFill="0" autoLine="0" autoPict="0">
                <anchor moveWithCells="1">
                  <from>
                    <xdr:col>3</xdr:col>
                    <xdr:colOff>723900</xdr:colOff>
                    <xdr:row>122</xdr:row>
                    <xdr:rowOff>47625</xdr:rowOff>
                  </from>
                  <to>
                    <xdr:col>3</xdr:col>
                    <xdr:colOff>885825</xdr:colOff>
                    <xdr:row>122</xdr:row>
                    <xdr:rowOff>209550</xdr:rowOff>
                  </to>
                </anchor>
              </controlPr>
            </control>
          </mc:Choice>
        </mc:AlternateContent>
        <mc:AlternateContent xmlns:mc="http://schemas.openxmlformats.org/markup-compatibility/2006">
          <mc:Choice Requires="x14">
            <control shapeId="16450" r:id="rId69" name="Option Button 66">
              <controlPr defaultSize="0" autoFill="0" autoLine="0" autoPict="0">
                <anchor moveWithCells="1">
                  <from>
                    <xdr:col>4</xdr:col>
                    <xdr:colOff>723900</xdr:colOff>
                    <xdr:row>122</xdr:row>
                    <xdr:rowOff>38100</xdr:rowOff>
                  </from>
                  <to>
                    <xdr:col>4</xdr:col>
                    <xdr:colOff>914400</xdr:colOff>
                    <xdr:row>122</xdr:row>
                    <xdr:rowOff>200025</xdr:rowOff>
                  </to>
                </anchor>
              </controlPr>
            </control>
          </mc:Choice>
        </mc:AlternateContent>
        <mc:AlternateContent xmlns:mc="http://schemas.openxmlformats.org/markup-compatibility/2006">
          <mc:Choice Requires="x14">
            <control shapeId="16451" r:id="rId70" name="Group Box 67">
              <controlPr defaultSize="0" autoFill="0" autoPict="0">
                <anchor moveWithCells="1">
                  <from>
                    <xdr:col>3</xdr:col>
                    <xdr:colOff>0</xdr:colOff>
                    <xdr:row>4</xdr:row>
                    <xdr:rowOff>0</xdr:rowOff>
                  </from>
                  <to>
                    <xdr:col>5</xdr:col>
                    <xdr:colOff>0</xdr:colOff>
                    <xdr:row>5</xdr:row>
                    <xdr:rowOff>0</xdr:rowOff>
                  </to>
                </anchor>
              </controlPr>
            </control>
          </mc:Choice>
        </mc:AlternateContent>
        <mc:AlternateContent xmlns:mc="http://schemas.openxmlformats.org/markup-compatibility/2006">
          <mc:Choice Requires="x14">
            <control shapeId="16452" r:id="rId71" name="Option Button 68">
              <controlPr defaultSize="0" autoFill="0" autoLine="0" autoPict="0">
                <anchor moveWithCells="1">
                  <from>
                    <xdr:col>3</xdr:col>
                    <xdr:colOff>742950</xdr:colOff>
                    <xdr:row>4</xdr:row>
                    <xdr:rowOff>19050</xdr:rowOff>
                  </from>
                  <to>
                    <xdr:col>3</xdr:col>
                    <xdr:colOff>904875</xdr:colOff>
                    <xdr:row>4</xdr:row>
                    <xdr:rowOff>228600</xdr:rowOff>
                  </to>
                </anchor>
              </controlPr>
            </control>
          </mc:Choice>
        </mc:AlternateContent>
        <mc:AlternateContent xmlns:mc="http://schemas.openxmlformats.org/markup-compatibility/2006">
          <mc:Choice Requires="x14">
            <control shapeId="16453" r:id="rId72" name="Option Button 69">
              <controlPr defaultSize="0" autoFill="0" autoLine="0" autoPict="0">
                <anchor moveWithCells="1">
                  <from>
                    <xdr:col>4</xdr:col>
                    <xdr:colOff>714375</xdr:colOff>
                    <xdr:row>4</xdr:row>
                    <xdr:rowOff>28575</xdr:rowOff>
                  </from>
                  <to>
                    <xdr:col>4</xdr:col>
                    <xdr:colOff>904875</xdr:colOff>
                    <xdr:row>4</xdr:row>
                    <xdr:rowOff>238125</xdr:rowOff>
                  </to>
                </anchor>
              </controlPr>
            </control>
          </mc:Choice>
        </mc:AlternateContent>
        <mc:AlternateContent xmlns:mc="http://schemas.openxmlformats.org/markup-compatibility/2006">
          <mc:Choice Requires="x14">
            <control shapeId="16454" r:id="rId73" name="Group Box 70">
              <controlPr defaultSize="0" autoFill="0" autoPict="0">
                <anchor moveWithCells="1">
                  <from>
                    <xdr:col>3</xdr:col>
                    <xdr:colOff>9525</xdr:colOff>
                    <xdr:row>5</xdr:row>
                    <xdr:rowOff>9525</xdr:rowOff>
                  </from>
                  <to>
                    <xdr:col>5</xdr:col>
                    <xdr:colOff>0</xdr:colOff>
                    <xdr:row>6</xdr:row>
                    <xdr:rowOff>0</xdr:rowOff>
                  </to>
                </anchor>
              </controlPr>
            </control>
          </mc:Choice>
        </mc:AlternateContent>
        <mc:AlternateContent xmlns:mc="http://schemas.openxmlformats.org/markup-compatibility/2006">
          <mc:Choice Requires="x14">
            <control shapeId="16455" r:id="rId74" name="Option Button 71">
              <controlPr defaultSize="0" autoFill="0" autoLine="0" autoPict="0">
                <anchor moveWithCells="1">
                  <from>
                    <xdr:col>3</xdr:col>
                    <xdr:colOff>752475</xdr:colOff>
                    <xdr:row>5</xdr:row>
                    <xdr:rowOff>19050</xdr:rowOff>
                  </from>
                  <to>
                    <xdr:col>3</xdr:col>
                    <xdr:colOff>914400</xdr:colOff>
                    <xdr:row>5</xdr:row>
                    <xdr:rowOff>219075</xdr:rowOff>
                  </to>
                </anchor>
              </controlPr>
            </control>
          </mc:Choice>
        </mc:AlternateContent>
        <mc:AlternateContent xmlns:mc="http://schemas.openxmlformats.org/markup-compatibility/2006">
          <mc:Choice Requires="x14">
            <control shapeId="16456" r:id="rId75" name="Option Button 72">
              <controlPr defaultSize="0" autoFill="0" autoLine="0" autoPict="0">
                <anchor moveWithCells="1">
                  <from>
                    <xdr:col>4</xdr:col>
                    <xdr:colOff>714375</xdr:colOff>
                    <xdr:row>5</xdr:row>
                    <xdr:rowOff>28575</xdr:rowOff>
                  </from>
                  <to>
                    <xdr:col>4</xdr:col>
                    <xdr:colOff>876300</xdr:colOff>
                    <xdr:row>5</xdr:row>
                    <xdr:rowOff>228600</xdr:rowOff>
                  </to>
                </anchor>
              </controlPr>
            </control>
          </mc:Choice>
        </mc:AlternateContent>
        <mc:AlternateContent xmlns:mc="http://schemas.openxmlformats.org/markup-compatibility/2006">
          <mc:Choice Requires="x14">
            <control shapeId="16457" r:id="rId76" name="Group Box 73">
              <controlPr defaultSize="0" autoFill="0" autoPict="0">
                <anchor moveWithCells="1">
                  <from>
                    <xdr:col>3</xdr:col>
                    <xdr:colOff>0</xdr:colOff>
                    <xdr:row>6</xdr:row>
                    <xdr:rowOff>9525</xdr:rowOff>
                  </from>
                  <to>
                    <xdr:col>5</xdr:col>
                    <xdr:colOff>0</xdr:colOff>
                    <xdr:row>7</xdr:row>
                    <xdr:rowOff>0</xdr:rowOff>
                  </to>
                </anchor>
              </controlPr>
            </control>
          </mc:Choice>
        </mc:AlternateContent>
        <mc:AlternateContent xmlns:mc="http://schemas.openxmlformats.org/markup-compatibility/2006">
          <mc:Choice Requires="x14">
            <control shapeId="16458" r:id="rId77" name="Option Button 74">
              <controlPr defaultSize="0" autoFill="0" autoLine="0" autoPict="0">
                <anchor moveWithCells="1">
                  <from>
                    <xdr:col>3</xdr:col>
                    <xdr:colOff>752475</xdr:colOff>
                    <xdr:row>6</xdr:row>
                    <xdr:rowOff>28575</xdr:rowOff>
                  </from>
                  <to>
                    <xdr:col>3</xdr:col>
                    <xdr:colOff>895350</xdr:colOff>
                    <xdr:row>6</xdr:row>
                    <xdr:rowOff>228600</xdr:rowOff>
                  </to>
                </anchor>
              </controlPr>
            </control>
          </mc:Choice>
        </mc:AlternateContent>
        <mc:AlternateContent xmlns:mc="http://schemas.openxmlformats.org/markup-compatibility/2006">
          <mc:Choice Requires="x14">
            <control shapeId="16459" r:id="rId78" name="Option Button 75">
              <controlPr defaultSize="0" autoFill="0" autoLine="0" autoPict="0">
                <anchor moveWithCells="1">
                  <from>
                    <xdr:col>4</xdr:col>
                    <xdr:colOff>723900</xdr:colOff>
                    <xdr:row>6</xdr:row>
                    <xdr:rowOff>28575</xdr:rowOff>
                  </from>
                  <to>
                    <xdr:col>4</xdr:col>
                    <xdr:colOff>895350</xdr:colOff>
                    <xdr:row>6</xdr:row>
                    <xdr:rowOff>228600</xdr:rowOff>
                  </to>
                </anchor>
              </controlPr>
            </control>
          </mc:Choice>
        </mc:AlternateContent>
        <mc:AlternateContent xmlns:mc="http://schemas.openxmlformats.org/markup-compatibility/2006">
          <mc:Choice Requires="x14">
            <control shapeId="16460" r:id="rId79" name="Group Box 76">
              <controlPr defaultSize="0" autoFill="0" autoPict="0">
                <anchor moveWithCells="1">
                  <from>
                    <xdr:col>2</xdr:col>
                    <xdr:colOff>1752600</xdr:colOff>
                    <xdr:row>53</xdr:row>
                    <xdr:rowOff>0</xdr:rowOff>
                  </from>
                  <to>
                    <xdr:col>4</xdr:col>
                    <xdr:colOff>952500</xdr:colOff>
                    <xdr:row>54</xdr:row>
                    <xdr:rowOff>0</xdr:rowOff>
                  </to>
                </anchor>
              </controlPr>
            </control>
          </mc:Choice>
        </mc:AlternateContent>
        <mc:AlternateContent xmlns:mc="http://schemas.openxmlformats.org/markup-compatibility/2006">
          <mc:Choice Requires="x14">
            <control shapeId="16461" r:id="rId80" name="Option Button 77">
              <controlPr defaultSize="0" autoFill="0" autoLine="0" autoPict="0">
                <anchor moveWithCells="1">
                  <from>
                    <xdr:col>3</xdr:col>
                    <xdr:colOff>771525</xdr:colOff>
                    <xdr:row>53</xdr:row>
                    <xdr:rowOff>28575</xdr:rowOff>
                  </from>
                  <to>
                    <xdr:col>3</xdr:col>
                    <xdr:colOff>971550</xdr:colOff>
                    <xdr:row>53</xdr:row>
                    <xdr:rowOff>209550</xdr:rowOff>
                  </to>
                </anchor>
              </controlPr>
            </control>
          </mc:Choice>
        </mc:AlternateContent>
        <mc:AlternateContent xmlns:mc="http://schemas.openxmlformats.org/markup-compatibility/2006">
          <mc:Choice Requires="x14">
            <control shapeId="16462" r:id="rId81" name="Option Button 78">
              <controlPr defaultSize="0" autoFill="0" autoLine="0" autoPict="0">
                <anchor moveWithCells="1">
                  <from>
                    <xdr:col>4</xdr:col>
                    <xdr:colOff>704850</xdr:colOff>
                    <xdr:row>53</xdr:row>
                    <xdr:rowOff>28575</xdr:rowOff>
                  </from>
                  <to>
                    <xdr:col>4</xdr:col>
                    <xdr:colOff>885825</xdr:colOff>
                    <xdr:row>53</xdr:row>
                    <xdr:rowOff>219075</xdr:rowOff>
                  </to>
                </anchor>
              </controlPr>
            </control>
          </mc:Choice>
        </mc:AlternateContent>
        <mc:AlternateContent xmlns:mc="http://schemas.openxmlformats.org/markup-compatibility/2006">
          <mc:Choice Requires="x14">
            <control shapeId="16463" r:id="rId82" name="Group Box 79">
              <controlPr defaultSize="0" autoFill="0" autoPict="0">
                <anchor moveWithCells="1">
                  <from>
                    <xdr:col>3</xdr:col>
                    <xdr:colOff>0</xdr:colOff>
                    <xdr:row>54</xdr:row>
                    <xdr:rowOff>9525</xdr:rowOff>
                  </from>
                  <to>
                    <xdr:col>5</xdr:col>
                    <xdr:colOff>0</xdr:colOff>
                    <xdr:row>55</xdr:row>
                    <xdr:rowOff>0</xdr:rowOff>
                  </to>
                </anchor>
              </controlPr>
            </control>
          </mc:Choice>
        </mc:AlternateContent>
        <mc:AlternateContent xmlns:mc="http://schemas.openxmlformats.org/markup-compatibility/2006">
          <mc:Choice Requires="x14">
            <control shapeId="16464" r:id="rId83" name="Option Button 80">
              <controlPr defaultSize="0" autoFill="0" autoLine="0" autoPict="0">
                <anchor moveWithCells="1">
                  <from>
                    <xdr:col>3</xdr:col>
                    <xdr:colOff>771525</xdr:colOff>
                    <xdr:row>54</xdr:row>
                    <xdr:rowOff>38100</xdr:rowOff>
                  </from>
                  <to>
                    <xdr:col>3</xdr:col>
                    <xdr:colOff>942975</xdr:colOff>
                    <xdr:row>54</xdr:row>
                    <xdr:rowOff>209550</xdr:rowOff>
                  </to>
                </anchor>
              </controlPr>
            </control>
          </mc:Choice>
        </mc:AlternateContent>
        <mc:AlternateContent xmlns:mc="http://schemas.openxmlformats.org/markup-compatibility/2006">
          <mc:Choice Requires="x14">
            <control shapeId="16465" r:id="rId84" name="Option Button 81">
              <controlPr defaultSize="0" autoFill="0" autoLine="0" autoPict="0">
                <anchor moveWithCells="1">
                  <from>
                    <xdr:col>4</xdr:col>
                    <xdr:colOff>704850</xdr:colOff>
                    <xdr:row>54</xdr:row>
                    <xdr:rowOff>38100</xdr:rowOff>
                  </from>
                  <to>
                    <xdr:col>4</xdr:col>
                    <xdr:colOff>885825</xdr:colOff>
                    <xdr:row>54</xdr:row>
                    <xdr:rowOff>209550</xdr:rowOff>
                  </to>
                </anchor>
              </controlPr>
            </control>
          </mc:Choice>
        </mc:AlternateContent>
        <mc:AlternateContent xmlns:mc="http://schemas.openxmlformats.org/markup-compatibility/2006">
          <mc:Choice Requires="x14">
            <control shapeId="16466" r:id="rId85" name="Group Box 82">
              <controlPr defaultSize="0" autoFill="0" autoPict="0">
                <anchor moveWithCells="1">
                  <from>
                    <xdr:col>2</xdr:col>
                    <xdr:colOff>1905000</xdr:colOff>
                    <xdr:row>55</xdr:row>
                    <xdr:rowOff>19050</xdr:rowOff>
                  </from>
                  <to>
                    <xdr:col>5</xdr:col>
                    <xdr:colOff>0</xdr:colOff>
                    <xdr:row>56</xdr:row>
                    <xdr:rowOff>0</xdr:rowOff>
                  </to>
                </anchor>
              </controlPr>
            </control>
          </mc:Choice>
        </mc:AlternateContent>
        <mc:AlternateContent xmlns:mc="http://schemas.openxmlformats.org/markup-compatibility/2006">
          <mc:Choice Requires="x14">
            <control shapeId="16467" r:id="rId86" name="Option Button 83">
              <controlPr defaultSize="0" autoFill="0" autoLine="0" autoPict="0">
                <anchor moveWithCells="1">
                  <from>
                    <xdr:col>3</xdr:col>
                    <xdr:colOff>771525</xdr:colOff>
                    <xdr:row>55</xdr:row>
                    <xdr:rowOff>47625</xdr:rowOff>
                  </from>
                  <to>
                    <xdr:col>4</xdr:col>
                    <xdr:colOff>0</xdr:colOff>
                    <xdr:row>55</xdr:row>
                    <xdr:rowOff>238125</xdr:rowOff>
                  </to>
                </anchor>
              </controlPr>
            </control>
          </mc:Choice>
        </mc:AlternateContent>
        <mc:AlternateContent xmlns:mc="http://schemas.openxmlformats.org/markup-compatibility/2006">
          <mc:Choice Requires="x14">
            <control shapeId="16468" r:id="rId87" name="Option Button 84">
              <controlPr defaultSize="0" autoFill="0" autoLine="0" autoPict="0">
                <anchor moveWithCells="1">
                  <from>
                    <xdr:col>4</xdr:col>
                    <xdr:colOff>714375</xdr:colOff>
                    <xdr:row>55</xdr:row>
                    <xdr:rowOff>57150</xdr:rowOff>
                  </from>
                  <to>
                    <xdr:col>4</xdr:col>
                    <xdr:colOff>914400</xdr:colOff>
                    <xdr:row>55</xdr:row>
                    <xdr:rowOff>238125</xdr:rowOff>
                  </to>
                </anchor>
              </controlPr>
            </control>
          </mc:Choice>
        </mc:AlternateContent>
        <mc:AlternateContent xmlns:mc="http://schemas.openxmlformats.org/markup-compatibility/2006">
          <mc:Choice Requires="x14">
            <control shapeId="16469" r:id="rId88" name="Group Box 85">
              <controlPr defaultSize="0" autoFill="0" autoPict="0">
                <anchor moveWithCells="1">
                  <from>
                    <xdr:col>3</xdr:col>
                    <xdr:colOff>0</xdr:colOff>
                    <xdr:row>56</xdr:row>
                    <xdr:rowOff>9525</xdr:rowOff>
                  </from>
                  <to>
                    <xdr:col>5</xdr:col>
                    <xdr:colOff>0</xdr:colOff>
                    <xdr:row>57</xdr:row>
                    <xdr:rowOff>0</xdr:rowOff>
                  </to>
                </anchor>
              </controlPr>
            </control>
          </mc:Choice>
        </mc:AlternateContent>
        <mc:AlternateContent xmlns:mc="http://schemas.openxmlformats.org/markup-compatibility/2006">
          <mc:Choice Requires="x14">
            <control shapeId="16470" r:id="rId89" name="Option Button 86">
              <controlPr defaultSize="0" autoFill="0" autoLine="0" autoPict="0">
                <anchor moveWithCells="1">
                  <from>
                    <xdr:col>3</xdr:col>
                    <xdr:colOff>771525</xdr:colOff>
                    <xdr:row>56</xdr:row>
                    <xdr:rowOff>19050</xdr:rowOff>
                  </from>
                  <to>
                    <xdr:col>3</xdr:col>
                    <xdr:colOff>942975</xdr:colOff>
                    <xdr:row>56</xdr:row>
                    <xdr:rowOff>219075</xdr:rowOff>
                  </to>
                </anchor>
              </controlPr>
            </control>
          </mc:Choice>
        </mc:AlternateContent>
        <mc:AlternateContent xmlns:mc="http://schemas.openxmlformats.org/markup-compatibility/2006">
          <mc:Choice Requires="x14">
            <control shapeId="16471" r:id="rId90" name="Option Button 87">
              <controlPr defaultSize="0" autoFill="0" autoLine="0" autoPict="0">
                <anchor moveWithCells="1">
                  <from>
                    <xdr:col>4</xdr:col>
                    <xdr:colOff>704850</xdr:colOff>
                    <xdr:row>56</xdr:row>
                    <xdr:rowOff>28575</xdr:rowOff>
                  </from>
                  <to>
                    <xdr:col>4</xdr:col>
                    <xdr:colOff>885825</xdr:colOff>
                    <xdr:row>56</xdr:row>
                    <xdr:rowOff>219075</xdr:rowOff>
                  </to>
                </anchor>
              </controlPr>
            </control>
          </mc:Choice>
        </mc:AlternateContent>
        <mc:AlternateContent xmlns:mc="http://schemas.openxmlformats.org/markup-compatibility/2006">
          <mc:Choice Requires="x14">
            <control shapeId="16472" r:id="rId91" name="Group Box 88">
              <controlPr defaultSize="0" autoFill="0" autoPict="0">
                <anchor moveWithCells="1">
                  <from>
                    <xdr:col>3</xdr:col>
                    <xdr:colOff>0</xdr:colOff>
                    <xdr:row>110</xdr:row>
                    <xdr:rowOff>0</xdr:rowOff>
                  </from>
                  <to>
                    <xdr:col>5</xdr:col>
                    <xdr:colOff>0</xdr:colOff>
                    <xdr:row>111</xdr:row>
                    <xdr:rowOff>0</xdr:rowOff>
                  </to>
                </anchor>
              </controlPr>
            </control>
          </mc:Choice>
        </mc:AlternateContent>
        <mc:AlternateContent xmlns:mc="http://schemas.openxmlformats.org/markup-compatibility/2006">
          <mc:Choice Requires="x14">
            <control shapeId="16473" r:id="rId92" name="Option Button 89">
              <controlPr defaultSize="0" autoFill="0" autoLine="0" autoPict="0">
                <anchor moveWithCells="1">
                  <from>
                    <xdr:col>3</xdr:col>
                    <xdr:colOff>809625</xdr:colOff>
                    <xdr:row>110</xdr:row>
                    <xdr:rowOff>28575</xdr:rowOff>
                  </from>
                  <to>
                    <xdr:col>3</xdr:col>
                    <xdr:colOff>952500</xdr:colOff>
                    <xdr:row>110</xdr:row>
                    <xdr:rowOff>228600</xdr:rowOff>
                  </to>
                </anchor>
              </controlPr>
            </control>
          </mc:Choice>
        </mc:AlternateContent>
        <mc:AlternateContent xmlns:mc="http://schemas.openxmlformats.org/markup-compatibility/2006">
          <mc:Choice Requires="x14">
            <control shapeId="16474" r:id="rId93" name="Option Button 90">
              <controlPr defaultSize="0" autoFill="0" autoLine="0" autoPict="0">
                <anchor moveWithCells="1">
                  <from>
                    <xdr:col>4</xdr:col>
                    <xdr:colOff>704850</xdr:colOff>
                    <xdr:row>110</xdr:row>
                    <xdr:rowOff>38100</xdr:rowOff>
                  </from>
                  <to>
                    <xdr:col>4</xdr:col>
                    <xdr:colOff>876300</xdr:colOff>
                    <xdr:row>110</xdr:row>
                    <xdr:rowOff>228600</xdr:rowOff>
                  </to>
                </anchor>
              </controlPr>
            </control>
          </mc:Choice>
        </mc:AlternateContent>
        <mc:AlternateContent xmlns:mc="http://schemas.openxmlformats.org/markup-compatibility/2006">
          <mc:Choice Requires="x14">
            <control shapeId="16475" r:id="rId94" name="Group Box 91">
              <controlPr defaultSize="0" autoFill="0" autoPict="0">
                <anchor moveWithCells="1">
                  <from>
                    <xdr:col>3</xdr:col>
                    <xdr:colOff>0</xdr:colOff>
                    <xdr:row>111</xdr:row>
                    <xdr:rowOff>9525</xdr:rowOff>
                  </from>
                  <to>
                    <xdr:col>5</xdr:col>
                    <xdr:colOff>0</xdr:colOff>
                    <xdr:row>112</xdr:row>
                    <xdr:rowOff>0</xdr:rowOff>
                  </to>
                </anchor>
              </controlPr>
            </control>
          </mc:Choice>
        </mc:AlternateContent>
        <mc:AlternateContent xmlns:mc="http://schemas.openxmlformats.org/markup-compatibility/2006">
          <mc:Choice Requires="x14">
            <control shapeId="16476" r:id="rId95" name="Option Button 92">
              <controlPr defaultSize="0" autoFill="0" autoLine="0" autoPict="0">
                <anchor moveWithCells="1">
                  <from>
                    <xdr:col>3</xdr:col>
                    <xdr:colOff>800100</xdr:colOff>
                    <xdr:row>111</xdr:row>
                    <xdr:rowOff>19050</xdr:rowOff>
                  </from>
                  <to>
                    <xdr:col>3</xdr:col>
                    <xdr:colOff>962025</xdr:colOff>
                    <xdr:row>111</xdr:row>
                    <xdr:rowOff>209550</xdr:rowOff>
                  </to>
                </anchor>
              </controlPr>
            </control>
          </mc:Choice>
        </mc:AlternateContent>
        <mc:AlternateContent xmlns:mc="http://schemas.openxmlformats.org/markup-compatibility/2006">
          <mc:Choice Requires="x14">
            <control shapeId="16477" r:id="rId96" name="Option Button 93">
              <controlPr defaultSize="0" autoFill="0" autoLine="0" autoPict="0">
                <anchor moveWithCells="1">
                  <from>
                    <xdr:col>4</xdr:col>
                    <xdr:colOff>704850</xdr:colOff>
                    <xdr:row>111</xdr:row>
                    <xdr:rowOff>19050</xdr:rowOff>
                  </from>
                  <to>
                    <xdr:col>4</xdr:col>
                    <xdr:colOff>866775</xdr:colOff>
                    <xdr:row>111</xdr:row>
                    <xdr:rowOff>209550</xdr:rowOff>
                  </to>
                </anchor>
              </controlPr>
            </control>
          </mc:Choice>
        </mc:AlternateContent>
        <mc:AlternateContent xmlns:mc="http://schemas.openxmlformats.org/markup-compatibility/2006">
          <mc:Choice Requires="x14">
            <control shapeId="16478" r:id="rId97" name="Group Box 94">
              <controlPr defaultSize="0" autoFill="0" autoPict="0">
                <anchor moveWithCells="1">
                  <from>
                    <xdr:col>3</xdr:col>
                    <xdr:colOff>0</xdr:colOff>
                    <xdr:row>112</xdr:row>
                    <xdr:rowOff>9525</xdr:rowOff>
                  </from>
                  <to>
                    <xdr:col>5</xdr:col>
                    <xdr:colOff>0</xdr:colOff>
                    <xdr:row>113</xdr:row>
                    <xdr:rowOff>0</xdr:rowOff>
                  </to>
                </anchor>
              </controlPr>
            </control>
          </mc:Choice>
        </mc:AlternateContent>
        <mc:AlternateContent xmlns:mc="http://schemas.openxmlformats.org/markup-compatibility/2006">
          <mc:Choice Requires="x14">
            <control shapeId="16479" r:id="rId98" name="Option Button 95">
              <controlPr defaultSize="0" autoFill="0" autoLine="0" autoPict="0">
                <anchor moveWithCells="1">
                  <from>
                    <xdr:col>3</xdr:col>
                    <xdr:colOff>800100</xdr:colOff>
                    <xdr:row>112</xdr:row>
                    <xdr:rowOff>28575</xdr:rowOff>
                  </from>
                  <to>
                    <xdr:col>3</xdr:col>
                    <xdr:colOff>962025</xdr:colOff>
                    <xdr:row>112</xdr:row>
                    <xdr:rowOff>228600</xdr:rowOff>
                  </to>
                </anchor>
              </controlPr>
            </control>
          </mc:Choice>
        </mc:AlternateContent>
        <mc:AlternateContent xmlns:mc="http://schemas.openxmlformats.org/markup-compatibility/2006">
          <mc:Choice Requires="x14">
            <control shapeId="16480" r:id="rId99" name="Option Button 96">
              <controlPr defaultSize="0" autoFill="0" autoLine="0" autoPict="0">
                <anchor moveWithCells="1">
                  <from>
                    <xdr:col>4</xdr:col>
                    <xdr:colOff>704850</xdr:colOff>
                    <xdr:row>112</xdr:row>
                    <xdr:rowOff>28575</xdr:rowOff>
                  </from>
                  <to>
                    <xdr:col>4</xdr:col>
                    <xdr:colOff>857250</xdr:colOff>
                    <xdr:row>112</xdr:row>
                    <xdr:rowOff>228600</xdr:rowOff>
                  </to>
                </anchor>
              </controlPr>
            </control>
          </mc:Choice>
        </mc:AlternateContent>
        <mc:AlternateContent xmlns:mc="http://schemas.openxmlformats.org/markup-compatibility/2006">
          <mc:Choice Requires="x14">
            <control shapeId="16481" r:id="rId100" name="Group Box 97">
              <controlPr defaultSize="0" autoFill="0" autoPict="0">
                <anchor moveWithCells="1">
                  <from>
                    <xdr:col>3</xdr:col>
                    <xdr:colOff>0</xdr:colOff>
                    <xdr:row>113</xdr:row>
                    <xdr:rowOff>9525</xdr:rowOff>
                  </from>
                  <to>
                    <xdr:col>5</xdr:col>
                    <xdr:colOff>0</xdr:colOff>
                    <xdr:row>114</xdr:row>
                    <xdr:rowOff>0</xdr:rowOff>
                  </to>
                </anchor>
              </controlPr>
            </control>
          </mc:Choice>
        </mc:AlternateContent>
        <mc:AlternateContent xmlns:mc="http://schemas.openxmlformats.org/markup-compatibility/2006">
          <mc:Choice Requires="x14">
            <control shapeId="16482" r:id="rId101" name="Option Button 98">
              <controlPr defaultSize="0" autoFill="0" autoLine="0" autoPict="0">
                <anchor moveWithCells="1">
                  <from>
                    <xdr:col>3</xdr:col>
                    <xdr:colOff>800100</xdr:colOff>
                    <xdr:row>113</xdr:row>
                    <xdr:rowOff>28575</xdr:rowOff>
                  </from>
                  <to>
                    <xdr:col>4</xdr:col>
                    <xdr:colOff>0</xdr:colOff>
                    <xdr:row>113</xdr:row>
                    <xdr:rowOff>219075</xdr:rowOff>
                  </to>
                </anchor>
              </controlPr>
            </control>
          </mc:Choice>
        </mc:AlternateContent>
        <mc:AlternateContent xmlns:mc="http://schemas.openxmlformats.org/markup-compatibility/2006">
          <mc:Choice Requires="x14">
            <control shapeId="16483" r:id="rId102" name="Option Button 99">
              <controlPr defaultSize="0" autoFill="0" autoLine="0" autoPict="0">
                <anchor moveWithCells="1">
                  <from>
                    <xdr:col>4</xdr:col>
                    <xdr:colOff>704850</xdr:colOff>
                    <xdr:row>113</xdr:row>
                    <xdr:rowOff>28575</xdr:rowOff>
                  </from>
                  <to>
                    <xdr:col>4</xdr:col>
                    <xdr:colOff>866775</xdr:colOff>
                    <xdr:row>113</xdr:row>
                    <xdr:rowOff>228600</xdr:rowOff>
                  </to>
                </anchor>
              </controlPr>
            </control>
          </mc:Choice>
        </mc:AlternateContent>
        <mc:AlternateContent xmlns:mc="http://schemas.openxmlformats.org/markup-compatibility/2006">
          <mc:Choice Requires="x14">
            <control shapeId="16484" r:id="rId103" name="Group Box 100">
              <controlPr defaultSize="0" autoFill="0" autoPict="0">
                <anchor moveWithCells="1">
                  <from>
                    <xdr:col>3</xdr:col>
                    <xdr:colOff>0</xdr:colOff>
                    <xdr:row>114</xdr:row>
                    <xdr:rowOff>9525</xdr:rowOff>
                  </from>
                  <to>
                    <xdr:col>5</xdr:col>
                    <xdr:colOff>0</xdr:colOff>
                    <xdr:row>115</xdr:row>
                    <xdr:rowOff>0</xdr:rowOff>
                  </to>
                </anchor>
              </controlPr>
            </control>
          </mc:Choice>
        </mc:AlternateContent>
        <mc:AlternateContent xmlns:mc="http://schemas.openxmlformats.org/markup-compatibility/2006">
          <mc:Choice Requires="x14">
            <control shapeId="16485" r:id="rId104" name="Option Button 101">
              <controlPr defaultSize="0" autoFill="0" autoLine="0" autoPict="0">
                <anchor moveWithCells="1">
                  <from>
                    <xdr:col>3</xdr:col>
                    <xdr:colOff>800100</xdr:colOff>
                    <xdr:row>114</xdr:row>
                    <xdr:rowOff>28575</xdr:rowOff>
                  </from>
                  <to>
                    <xdr:col>3</xdr:col>
                    <xdr:colOff>962025</xdr:colOff>
                    <xdr:row>114</xdr:row>
                    <xdr:rowOff>228600</xdr:rowOff>
                  </to>
                </anchor>
              </controlPr>
            </control>
          </mc:Choice>
        </mc:AlternateContent>
        <mc:AlternateContent xmlns:mc="http://schemas.openxmlformats.org/markup-compatibility/2006">
          <mc:Choice Requires="x14">
            <control shapeId="16486" r:id="rId105" name="Option Button 102">
              <controlPr defaultSize="0" autoFill="0" autoLine="0" autoPict="0">
                <anchor moveWithCells="1">
                  <from>
                    <xdr:col>4</xdr:col>
                    <xdr:colOff>714375</xdr:colOff>
                    <xdr:row>114</xdr:row>
                    <xdr:rowOff>38100</xdr:rowOff>
                  </from>
                  <to>
                    <xdr:col>4</xdr:col>
                    <xdr:colOff>876300</xdr:colOff>
                    <xdr:row>114</xdr:row>
                    <xdr:rowOff>228600</xdr:rowOff>
                  </to>
                </anchor>
              </controlPr>
            </control>
          </mc:Choice>
        </mc:AlternateContent>
        <mc:AlternateContent xmlns:mc="http://schemas.openxmlformats.org/markup-compatibility/2006">
          <mc:Choice Requires="x14">
            <control shapeId="16487" r:id="rId106" name="Option Button 103">
              <controlPr defaultSize="0" autoFill="0" autoLine="0" autoPict="0">
                <anchor moveWithCells="1">
                  <from>
                    <xdr:col>3</xdr:col>
                    <xdr:colOff>714375</xdr:colOff>
                    <xdr:row>119</xdr:row>
                    <xdr:rowOff>38100</xdr:rowOff>
                  </from>
                  <to>
                    <xdr:col>3</xdr:col>
                    <xdr:colOff>895350</xdr:colOff>
                    <xdr:row>119</xdr:row>
                    <xdr:rowOff>209550</xdr:rowOff>
                  </to>
                </anchor>
              </controlPr>
            </control>
          </mc:Choice>
        </mc:AlternateContent>
        <mc:AlternateContent xmlns:mc="http://schemas.openxmlformats.org/markup-compatibility/2006">
          <mc:Choice Requires="x14">
            <control shapeId="16488" r:id="rId107" name="Option Button 104">
              <controlPr defaultSize="0" autoFill="0" autoLine="0" autoPict="0">
                <anchor moveWithCells="1">
                  <from>
                    <xdr:col>4</xdr:col>
                    <xdr:colOff>704850</xdr:colOff>
                    <xdr:row>119</xdr:row>
                    <xdr:rowOff>19050</xdr:rowOff>
                  </from>
                  <to>
                    <xdr:col>4</xdr:col>
                    <xdr:colOff>895350</xdr:colOff>
                    <xdr:row>119</xdr:row>
                    <xdr:rowOff>209550</xdr:rowOff>
                  </to>
                </anchor>
              </controlPr>
            </control>
          </mc:Choice>
        </mc:AlternateContent>
        <mc:AlternateContent xmlns:mc="http://schemas.openxmlformats.org/markup-compatibility/2006">
          <mc:Choice Requires="x14">
            <control shapeId="16489" r:id="rId108" name="Option Button 105">
              <controlPr defaultSize="0" autoFill="0" autoLine="0" autoPict="0">
                <anchor moveWithCells="1">
                  <from>
                    <xdr:col>3</xdr:col>
                    <xdr:colOff>704850</xdr:colOff>
                    <xdr:row>120</xdr:row>
                    <xdr:rowOff>38100</xdr:rowOff>
                  </from>
                  <to>
                    <xdr:col>3</xdr:col>
                    <xdr:colOff>895350</xdr:colOff>
                    <xdr:row>120</xdr:row>
                    <xdr:rowOff>219075</xdr:rowOff>
                  </to>
                </anchor>
              </controlPr>
            </control>
          </mc:Choice>
        </mc:AlternateContent>
        <mc:AlternateContent xmlns:mc="http://schemas.openxmlformats.org/markup-compatibility/2006">
          <mc:Choice Requires="x14">
            <control shapeId="16490" r:id="rId109" name="Option Button 106">
              <controlPr defaultSize="0" autoFill="0" autoLine="0" autoPict="0">
                <anchor moveWithCells="1">
                  <from>
                    <xdr:col>4</xdr:col>
                    <xdr:colOff>714375</xdr:colOff>
                    <xdr:row>120</xdr:row>
                    <xdr:rowOff>19050</xdr:rowOff>
                  </from>
                  <to>
                    <xdr:col>4</xdr:col>
                    <xdr:colOff>885825</xdr:colOff>
                    <xdr:row>120</xdr:row>
                    <xdr:rowOff>200025</xdr:rowOff>
                  </to>
                </anchor>
              </controlPr>
            </control>
          </mc:Choice>
        </mc:AlternateContent>
        <mc:AlternateContent xmlns:mc="http://schemas.openxmlformats.org/markup-compatibility/2006">
          <mc:Choice Requires="x14">
            <control shapeId="16491" r:id="rId110" name="Group Box 107">
              <controlPr defaultSize="0" autoFill="0" autoPict="0">
                <anchor moveWithCells="1">
                  <from>
                    <xdr:col>3</xdr:col>
                    <xdr:colOff>9525</xdr:colOff>
                    <xdr:row>123</xdr:row>
                    <xdr:rowOff>9525</xdr:rowOff>
                  </from>
                  <to>
                    <xdr:col>5</xdr:col>
                    <xdr:colOff>9525</xdr:colOff>
                    <xdr:row>124</xdr:row>
                    <xdr:rowOff>9525</xdr:rowOff>
                  </to>
                </anchor>
              </controlPr>
            </control>
          </mc:Choice>
        </mc:AlternateContent>
        <mc:AlternateContent xmlns:mc="http://schemas.openxmlformats.org/markup-compatibility/2006">
          <mc:Choice Requires="x14">
            <control shapeId="16492" r:id="rId111" name="Option Button 108">
              <controlPr defaultSize="0" autoFill="0" autoLine="0" autoPict="0">
                <anchor moveWithCells="1">
                  <from>
                    <xdr:col>3</xdr:col>
                    <xdr:colOff>714375</xdr:colOff>
                    <xdr:row>123</xdr:row>
                    <xdr:rowOff>38100</xdr:rowOff>
                  </from>
                  <to>
                    <xdr:col>3</xdr:col>
                    <xdr:colOff>933450</xdr:colOff>
                    <xdr:row>123</xdr:row>
                    <xdr:rowOff>200025</xdr:rowOff>
                  </to>
                </anchor>
              </controlPr>
            </control>
          </mc:Choice>
        </mc:AlternateContent>
        <mc:AlternateContent xmlns:mc="http://schemas.openxmlformats.org/markup-compatibility/2006">
          <mc:Choice Requires="x14">
            <control shapeId="16493" r:id="rId112" name="Option Button 109">
              <controlPr defaultSize="0" autoFill="0" autoLine="0" autoPict="0">
                <anchor moveWithCells="1">
                  <from>
                    <xdr:col>4</xdr:col>
                    <xdr:colOff>714375</xdr:colOff>
                    <xdr:row>123</xdr:row>
                    <xdr:rowOff>38100</xdr:rowOff>
                  </from>
                  <to>
                    <xdr:col>4</xdr:col>
                    <xdr:colOff>914400</xdr:colOff>
                    <xdr:row>123</xdr:row>
                    <xdr:rowOff>219075</xdr:rowOff>
                  </to>
                </anchor>
              </controlPr>
            </control>
          </mc:Choice>
        </mc:AlternateContent>
        <mc:AlternateContent xmlns:mc="http://schemas.openxmlformats.org/markup-compatibility/2006">
          <mc:Choice Requires="x14">
            <control shapeId="16494" r:id="rId113" name="Group Box 110">
              <controlPr defaultSize="0" autoFill="0" autoPict="0">
                <anchor moveWithCells="1">
                  <from>
                    <xdr:col>3</xdr:col>
                    <xdr:colOff>9525</xdr:colOff>
                    <xdr:row>31</xdr:row>
                    <xdr:rowOff>0</xdr:rowOff>
                  </from>
                  <to>
                    <xdr:col>5</xdr:col>
                    <xdr:colOff>0</xdr:colOff>
                    <xdr:row>32</xdr:row>
                    <xdr:rowOff>0</xdr:rowOff>
                  </to>
                </anchor>
              </controlPr>
            </control>
          </mc:Choice>
        </mc:AlternateContent>
        <mc:AlternateContent xmlns:mc="http://schemas.openxmlformats.org/markup-compatibility/2006">
          <mc:Choice Requires="x14">
            <control shapeId="16495" r:id="rId114" name="Option Button 111">
              <controlPr defaultSize="0" autoFill="0" autoLine="0" autoPict="0">
                <anchor moveWithCells="1">
                  <from>
                    <xdr:col>3</xdr:col>
                    <xdr:colOff>733425</xdr:colOff>
                    <xdr:row>31</xdr:row>
                    <xdr:rowOff>19050</xdr:rowOff>
                  </from>
                  <to>
                    <xdr:col>3</xdr:col>
                    <xdr:colOff>923925</xdr:colOff>
                    <xdr:row>31</xdr:row>
                    <xdr:rowOff>209550</xdr:rowOff>
                  </to>
                </anchor>
              </controlPr>
            </control>
          </mc:Choice>
        </mc:AlternateContent>
        <mc:AlternateContent xmlns:mc="http://schemas.openxmlformats.org/markup-compatibility/2006">
          <mc:Choice Requires="x14">
            <control shapeId="16496" r:id="rId115" name="Option Button 112">
              <controlPr defaultSize="0" autoFill="0" autoLine="0" autoPict="0">
                <anchor moveWithCells="1">
                  <from>
                    <xdr:col>4</xdr:col>
                    <xdr:colOff>714375</xdr:colOff>
                    <xdr:row>31</xdr:row>
                    <xdr:rowOff>38100</xdr:rowOff>
                  </from>
                  <to>
                    <xdr:col>4</xdr:col>
                    <xdr:colOff>904875</xdr:colOff>
                    <xdr:row>31</xdr:row>
                    <xdr:rowOff>209550</xdr:rowOff>
                  </to>
                </anchor>
              </controlPr>
            </control>
          </mc:Choice>
        </mc:AlternateContent>
        <mc:AlternateContent xmlns:mc="http://schemas.openxmlformats.org/markup-compatibility/2006">
          <mc:Choice Requires="x14">
            <control shapeId="16497" r:id="rId116" name="Group Box 113">
              <controlPr defaultSize="0" autoFill="0" autoPict="0">
                <anchor moveWithCells="1">
                  <from>
                    <xdr:col>3</xdr:col>
                    <xdr:colOff>9525</xdr:colOff>
                    <xdr:row>32</xdr:row>
                    <xdr:rowOff>9525</xdr:rowOff>
                  </from>
                  <to>
                    <xdr:col>5</xdr:col>
                    <xdr:colOff>0</xdr:colOff>
                    <xdr:row>33</xdr:row>
                    <xdr:rowOff>0</xdr:rowOff>
                  </to>
                </anchor>
              </controlPr>
            </control>
          </mc:Choice>
        </mc:AlternateContent>
        <mc:AlternateContent xmlns:mc="http://schemas.openxmlformats.org/markup-compatibility/2006">
          <mc:Choice Requires="x14">
            <control shapeId="16498" r:id="rId117" name="Option Button 114">
              <controlPr defaultSize="0" autoFill="0" autoLine="0" autoPict="0">
                <anchor moveWithCells="1">
                  <from>
                    <xdr:col>3</xdr:col>
                    <xdr:colOff>742950</xdr:colOff>
                    <xdr:row>32</xdr:row>
                    <xdr:rowOff>57150</xdr:rowOff>
                  </from>
                  <to>
                    <xdr:col>3</xdr:col>
                    <xdr:colOff>933450</xdr:colOff>
                    <xdr:row>32</xdr:row>
                    <xdr:rowOff>219075</xdr:rowOff>
                  </to>
                </anchor>
              </controlPr>
            </control>
          </mc:Choice>
        </mc:AlternateContent>
        <mc:AlternateContent xmlns:mc="http://schemas.openxmlformats.org/markup-compatibility/2006">
          <mc:Choice Requires="x14">
            <control shapeId="16499" r:id="rId118" name="Option Button 115">
              <controlPr defaultSize="0" autoFill="0" autoLine="0" autoPict="0">
                <anchor moveWithCells="1">
                  <from>
                    <xdr:col>4</xdr:col>
                    <xdr:colOff>714375</xdr:colOff>
                    <xdr:row>32</xdr:row>
                    <xdr:rowOff>38100</xdr:rowOff>
                  </from>
                  <to>
                    <xdr:col>4</xdr:col>
                    <xdr:colOff>914400</xdr:colOff>
                    <xdr:row>32</xdr:row>
                    <xdr:rowOff>209550</xdr:rowOff>
                  </to>
                </anchor>
              </controlPr>
            </control>
          </mc:Choice>
        </mc:AlternateContent>
        <mc:AlternateContent xmlns:mc="http://schemas.openxmlformats.org/markup-compatibility/2006">
          <mc:Choice Requires="x14">
            <control shapeId="16500" r:id="rId119" name="Group Box 116">
              <controlPr defaultSize="0" autoFill="0" autoPict="0">
                <anchor moveWithCells="1">
                  <from>
                    <xdr:col>3</xdr:col>
                    <xdr:colOff>9525</xdr:colOff>
                    <xdr:row>33</xdr:row>
                    <xdr:rowOff>9525</xdr:rowOff>
                  </from>
                  <to>
                    <xdr:col>5</xdr:col>
                    <xdr:colOff>0</xdr:colOff>
                    <xdr:row>34</xdr:row>
                    <xdr:rowOff>0</xdr:rowOff>
                  </to>
                </anchor>
              </controlPr>
            </control>
          </mc:Choice>
        </mc:AlternateContent>
        <mc:AlternateContent xmlns:mc="http://schemas.openxmlformats.org/markup-compatibility/2006">
          <mc:Choice Requires="x14">
            <control shapeId="16501" r:id="rId120" name="Option Button 117">
              <controlPr defaultSize="0" autoFill="0" autoLine="0" autoPict="0">
                <anchor moveWithCells="1">
                  <from>
                    <xdr:col>3</xdr:col>
                    <xdr:colOff>752475</xdr:colOff>
                    <xdr:row>33</xdr:row>
                    <xdr:rowOff>28575</xdr:rowOff>
                  </from>
                  <to>
                    <xdr:col>3</xdr:col>
                    <xdr:colOff>933450</xdr:colOff>
                    <xdr:row>33</xdr:row>
                    <xdr:rowOff>209550</xdr:rowOff>
                  </to>
                </anchor>
              </controlPr>
            </control>
          </mc:Choice>
        </mc:AlternateContent>
        <mc:AlternateContent xmlns:mc="http://schemas.openxmlformats.org/markup-compatibility/2006">
          <mc:Choice Requires="x14">
            <control shapeId="16502" r:id="rId121" name="Option Button 118">
              <controlPr defaultSize="0" autoFill="0" autoLine="0" autoPict="0">
                <anchor moveWithCells="1">
                  <from>
                    <xdr:col>4</xdr:col>
                    <xdr:colOff>714375</xdr:colOff>
                    <xdr:row>33</xdr:row>
                    <xdr:rowOff>28575</xdr:rowOff>
                  </from>
                  <to>
                    <xdr:col>4</xdr:col>
                    <xdr:colOff>895350</xdr:colOff>
                    <xdr:row>33</xdr:row>
                    <xdr:rowOff>190500</xdr:rowOff>
                  </to>
                </anchor>
              </controlPr>
            </control>
          </mc:Choice>
        </mc:AlternateContent>
        <mc:AlternateContent xmlns:mc="http://schemas.openxmlformats.org/markup-compatibility/2006">
          <mc:Choice Requires="x14">
            <control shapeId="16503" r:id="rId122" name="Group Box 119">
              <controlPr defaultSize="0" autoFill="0" autoPict="0">
                <anchor moveWithCells="1">
                  <from>
                    <xdr:col>2</xdr:col>
                    <xdr:colOff>1762125</xdr:colOff>
                    <xdr:row>34</xdr:row>
                    <xdr:rowOff>9525</xdr:rowOff>
                  </from>
                  <to>
                    <xdr:col>5</xdr:col>
                    <xdr:colOff>0</xdr:colOff>
                    <xdr:row>35</xdr:row>
                    <xdr:rowOff>0</xdr:rowOff>
                  </to>
                </anchor>
              </controlPr>
            </control>
          </mc:Choice>
        </mc:AlternateContent>
        <mc:AlternateContent xmlns:mc="http://schemas.openxmlformats.org/markup-compatibility/2006">
          <mc:Choice Requires="x14">
            <control shapeId="16504" r:id="rId123" name="Option Button 120">
              <controlPr defaultSize="0" autoFill="0" autoLine="0" autoPict="0">
                <anchor moveWithCells="1">
                  <from>
                    <xdr:col>3</xdr:col>
                    <xdr:colOff>742950</xdr:colOff>
                    <xdr:row>34</xdr:row>
                    <xdr:rowOff>19050</xdr:rowOff>
                  </from>
                  <to>
                    <xdr:col>3</xdr:col>
                    <xdr:colOff>942975</xdr:colOff>
                    <xdr:row>34</xdr:row>
                    <xdr:rowOff>180975</xdr:rowOff>
                  </to>
                </anchor>
              </controlPr>
            </control>
          </mc:Choice>
        </mc:AlternateContent>
        <mc:AlternateContent xmlns:mc="http://schemas.openxmlformats.org/markup-compatibility/2006">
          <mc:Choice Requires="x14">
            <control shapeId="16505" r:id="rId124" name="Option Button 121">
              <controlPr defaultSize="0" autoFill="0" autoLine="0" autoPict="0">
                <anchor moveWithCells="1">
                  <from>
                    <xdr:col>4</xdr:col>
                    <xdr:colOff>714375</xdr:colOff>
                    <xdr:row>34</xdr:row>
                    <xdr:rowOff>28575</xdr:rowOff>
                  </from>
                  <to>
                    <xdr:col>4</xdr:col>
                    <xdr:colOff>923925</xdr:colOff>
                    <xdr:row>34</xdr:row>
                    <xdr:rowOff>209550</xdr:rowOff>
                  </to>
                </anchor>
              </controlPr>
            </control>
          </mc:Choice>
        </mc:AlternateContent>
        <mc:AlternateContent xmlns:mc="http://schemas.openxmlformats.org/markup-compatibility/2006">
          <mc:Choice Requires="x14">
            <control shapeId="16506" r:id="rId125" name="Group Box 122">
              <controlPr defaultSize="0" autoFill="0" autoPict="0">
                <anchor moveWithCells="1">
                  <from>
                    <xdr:col>2</xdr:col>
                    <xdr:colOff>1762125</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16507" r:id="rId126" name="Option Button 123">
              <controlPr defaultSize="0" autoFill="0" autoLine="0" autoPict="0">
                <anchor moveWithCells="1">
                  <from>
                    <xdr:col>3</xdr:col>
                    <xdr:colOff>742950</xdr:colOff>
                    <xdr:row>35</xdr:row>
                    <xdr:rowOff>19050</xdr:rowOff>
                  </from>
                  <to>
                    <xdr:col>3</xdr:col>
                    <xdr:colOff>942975</xdr:colOff>
                    <xdr:row>35</xdr:row>
                    <xdr:rowOff>200025</xdr:rowOff>
                  </to>
                </anchor>
              </controlPr>
            </control>
          </mc:Choice>
        </mc:AlternateContent>
        <mc:AlternateContent xmlns:mc="http://schemas.openxmlformats.org/markup-compatibility/2006">
          <mc:Choice Requires="x14">
            <control shapeId="16508" r:id="rId127" name="Option Button 124">
              <controlPr defaultSize="0" autoFill="0" autoLine="0" autoPict="0">
                <anchor moveWithCells="1">
                  <from>
                    <xdr:col>4</xdr:col>
                    <xdr:colOff>714375</xdr:colOff>
                    <xdr:row>35</xdr:row>
                    <xdr:rowOff>19050</xdr:rowOff>
                  </from>
                  <to>
                    <xdr:col>4</xdr:col>
                    <xdr:colOff>914400</xdr:colOff>
                    <xdr:row>35</xdr:row>
                    <xdr:rowOff>200025</xdr:rowOff>
                  </to>
                </anchor>
              </controlPr>
            </control>
          </mc:Choice>
        </mc:AlternateContent>
        <mc:AlternateContent xmlns:mc="http://schemas.openxmlformats.org/markup-compatibility/2006">
          <mc:Choice Requires="x14">
            <control shapeId="16509" r:id="rId128" name="Group Box 125">
              <controlPr defaultSize="0" autoFill="0" autoPict="0">
                <anchor moveWithCells="1">
                  <from>
                    <xdr:col>2</xdr:col>
                    <xdr:colOff>1762125</xdr:colOff>
                    <xdr:row>36</xdr:row>
                    <xdr:rowOff>9525</xdr:rowOff>
                  </from>
                  <to>
                    <xdr:col>5</xdr:col>
                    <xdr:colOff>0</xdr:colOff>
                    <xdr:row>37</xdr:row>
                    <xdr:rowOff>0</xdr:rowOff>
                  </to>
                </anchor>
              </controlPr>
            </control>
          </mc:Choice>
        </mc:AlternateContent>
        <mc:AlternateContent xmlns:mc="http://schemas.openxmlformats.org/markup-compatibility/2006">
          <mc:Choice Requires="x14">
            <control shapeId="16510" r:id="rId129" name="Option Button 126">
              <controlPr defaultSize="0" autoFill="0" autoLine="0" autoPict="0">
                <anchor moveWithCells="1">
                  <from>
                    <xdr:col>3</xdr:col>
                    <xdr:colOff>742950</xdr:colOff>
                    <xdr:row>36</xdr:row>
                    <xdr:rowOff>38100</xdr:rowOff>
                  </from>
                  <to>
                    <xdr:col>3</xdr:col>
                    <xdr:colOff>952500</xdr:colOff>
                    <xdr:row>36</xdr:row>
                    <xdr:rowOff>219075</xdr:rowOff>
                  </to>
                </anchor>
              </controlPr>
            </control>
          </mc:Choice>
        </mc:AlternateContent>
        <mc:AlternateContent xmlns:mc="http://schemas.openxmlformats.org/markup-compatibility/2006">
          <mc:Choice Requires="x14">
            <control shapeId="16511" r:id="rId130" name="Option Button 127">
              <controlPr defaultSize="0" autoFill="0" autoLine="0" autoPict="0">
                <anchor moveWithCells="1">
                  <from>
                    <xdr:col>4</xdr:col>
                    <xdr:colOff>704850</xdr:colOff>
                    <xdr:row>36</xdr:row>
                    <xdr:rowOff>47625</xdr:rowOff>
                  </from>
                  <to>
                    <xdr:col>4</xdr:col>
                    <xdr:colOff>923925</xdr:colOff>
                    <xdr:row>36</xdr:row>
                    <xdr:rowOff>219075</xdr:rowOff>
                  </to>
                </anchor>
              </controlPr>
            </control>
          </mc:Choice>
        </mc:AlternateContent>
        <mc:AlternateContent xmlns:mc="http://schemas.openxmlformats.org/markup-compatibility/2006">
          <mc:Choice Requires="x14">
            <control shapeId="16512" r:id="rId131" name="Group Box 128">
              <controlPr defaultSize="0" autoFill="0" autoPict="0">
                <anchor moveWithCells="1">
                  <from>
                    <xdr:col>2</xdr:col>
                    <xdr:colOff>1762125</xdr:colOff>
                    <xdr:row>39</xdr:row>
                    <xdr:rowOff>57150</xdr:rowOff>
                  </from>
                  <to>
                    <xdr:col>5</xdr:col>
                    <xdr:colOff>0</xdr:colOff>
                    <xdr:row>41</xdr:row>
                    <xdr:rowOff>0</xdr:rowOff>
                  </to>
                </anchor>
              </controlPr>
            </control>
          </mc:Choice>
        </mc:AlternateContent>
        <mc:AlternateContent xmlns:mc="http://schemas.openxmlformats.org/markup-compatibility/2006">
          <mc:Choice Requires="x14">
            <control shapeId="16513" r:id="rId132" name="Option Button 129">
              <controlPr defaultSize="0" autoFill="0" autoLine="0" autoPict="0">
                <anchor moveWithCells="1">
                  <from>
                    <xdr:col>3</xdr:col>
                    <xdr:colOff>714375</xdr:colOff>
                    <xdr:row>40</xdr:row>
                    <xdr:rowOff>38100</xdr:rowOff>
                  </from>
                  <to>
                    <xdr:col>3</xdr:col>
                    <xdr:colOff>923925</xdr:colOff>
                    <xdr:row>40</xdr:row>
                    <xdr:rowOff>200025</xdr:rowOff>
                  </to>
                </anchor>
              </controlPr>
            </control>
          </mc:Choice>
        </mc:AlternateContent>
        <mc:AlternateContent xmlns:mc="http://schemas.openxmlformats.org/markup-compatibility/2006">
          <mc:Choice Requires="x14">
            <control shapeId="16514" r:id="rId133" name="Option Button 130">
              <controlPr defaultSize="0" autoFill="0" autoLine="0" autoPict="0">
                <anchor moveWithCells="1">
                  <from>
                    <xdr:col>4</xdr:col>
                    <xdr:colOff>714375</xdr:colOff>
                    <xdr:row>40</xdr:row>
                    <xdr:rowOff>38100</xdr:rowOff>
                  </from>
                  <to>
                    <xdr:col>4</xdr:col>
                    <xdr:colOff>914400</xdr:colOff>
                    <xdr:row>40</xdr:row>
                    <xdr:rowOff>209550</xdr:rowOff>
                  </to>
                </anchor>
              </controlPr>
            </control>
          </mc:Choice>
        </mc:AlternateContent>
        <mc:AlternateContent xmlns:mc="http://schemas.openxmlformats.org/markup-compatibility/2006">
          <mc:Choice Requires="x14">
            <control shapeId="16515" r:id="rId134" name="Group Box 131">
              <controlPr defaultSize="0" autoFill="0" autoPict="0">
                <anchor moveWithCells="1">
                  <from>
                    <xdr:col>2</xdr:col>
                    <xdr:colOff>1762125</xdr:colOff>
                    <xdr:row>42</xdr:row>
                    <xdr:rowOff>9525</xdr:rowOff>
                  </from>
                  <to>
                    <xdr:col>5</xdr:col>
                    <xdr:colOff>0</xdr:colOff>
                    <xdr:row>43</xdr:row>
                    <xdr:rowOff>9525</xdr:rowOff>
                  </to>
                </anchor>
              </controlPr>
            </control>
          </mc:Choice>
        </mc:AlternateContent>
        <mc:AlternateContent xmlns:mc="http://schemas.openxmlformats.org/markup-compatibility/2006">
          <mc:Choice Requires="x14">
            <control shapeId="16516" r:id="rId135" name="Option Button 132">
              <controlPr defaultSize="0" autoFill="0" autoLine="0" autoPict="0">
                <anchor moveWithCells="1">
                  <from>
                    <xdr:col>3</xdr:col>
                    <xdr:colOff>714375</xdr:colOff>
                    <xdr:row>42</xdr:row>
                    <xdr:rowOff>38100</xdr:rowOff>
                  </from>
                  <to>
                    <xdr:col>3</xdr:col>
                    <xdr:colOff>933450</xdr:colOff>
                    <xdr:row>42</xdr:row>
                    <xdr:rowOff>200025</xdr:rowOff>
                  </to>
                </anchor>
              </controlPr>
            </control>
          </mc:Choice>
        </mc:AlternateContent>
        <mc:AlternateContent xmlns:mc="http://schemas.openxmlformats.org/markup-compatibility/2006">
          <mc:Choice Requires="x14">
            <control shapeId="16517" r:id="rId136" name="Option Button 133">
              <controlPr defaultSize="0" autoFill="0" autoLine="0" autoPict="0">
                <anchor moveWithCells="1">
                  <from>
                    <xdr:col>4</xdr:col>
                    <xdr:colOff>704850</xdr:colOff>
                    <xdr:row>42</xdr:row>
                    <xdr:rowOff>28575</xdr:rowOff>
                  </from>
                  <to>
                    <xdr:col>4</xdr:col>
                    <xdr:colOff>914400</xdr:colOff>
                    <xdr:row>42</xdr:row>
                    <xdr:rowOff>219075</xdr:rowOff>
                  </to>
                </anchor>
              </controlPr>
            </control>
          </mc:Choice>
        </mc:AlternateContent>
        <mc:AlternateContent xmlns:mc="http://schemas.openxmlformats.org/markup-compatibility/2006">
          <mc:Choice Requires="x14">
            <control shapeId="16518" r:id="rId137" name="Group Box 134">
              <controlPr defaultSize="0" autoFill="0" autoPict="0">
                <anchor moveWithCells="1">
                  <from>
                    <xdr:col>3</xdr:col>
                    <xdr:colOff>9525</xdr:colOff>
                    <xdr:row>43</xdr:row>
                    <xdr:rowOff>57150</xdr:rowOff>
                  </from>
                  <to>
                    <xdr:col>5</xdr:col>
                    <xdr:colOff>0</xdr:colOff>
                    <xdr:row>44</xdr:row>
                    <xdr:rowOff>371475</xdr:rowOff>
                  </to>
                </anchor>
              </controlPr>
            </control>
          </mc:Choice>
        </mc:AlternateContent>
        <mc:AlternateContent xmlns:mc="http://schemas.openxmlformats.org/markup-compatibility/2006">
          <mc:Choice Requires="x14">
            <control shapeId="16519" r:id="rId138" name="Option Button 135">
              <controlPr defaultSize="0" autoFill="0" autoLine="0" autoPict="0">
                <anchor moveWithCells="1">
                  <from>
                    <xdr:col>3</xdr:col>
                    <xdr:colOff>723900</xdr:colOff>
                    <xdr:row>44</xdr:row>
                    <xdr:rowOff>104775</xdr:rowOff>
                  </from>
                  <to>
                    <xdr:col>3</xdr:col>
                    <xdr:colOff>933450</xdr:colOff>
                    <xdr:row>44</xdr:row>
                    <xdr:rowOff>266700</xdr:rowOff>
                  </to>
                </anchor>
              </controlPr>
            </control>
          </mc:Choice>
        </mc:AlternateContent>
        <mc:AlternateContent xmlns:mc="http://schemas.openxmlformats.org/markup-compatibility/2006">
          <mc:Choice Requires="x14">
            <control shapeId="16520" r:id="rId139" name="Option Button 136">
              <controlPr defaultSize="0" autoFill="0" autoLine="0" autoPict="0">
                <anchor moveWithCells="1">
                  <from>
                    <xdr:col>4</xdr:col>
                    <xdr:colOff>695325</xdr:colOff>
                    <xdr:row>44</xdr:row>
                    <xdr:rowOff>85725</xdr:rowOff>
                  </from>
                  <to>
                    <xdr:col>4</xdr:col>
                    <xdr:colOff>895350</xdr:colOff>
                    <xdr:row>44</xdr:row>
                    <xdr:rowOff>276225</xdr:rowOff>
                  </to>
                </anchor>
              </controlPr>
            </control>
          </mc:Choice>
        </mc:AlternateContent>
        <mc:AlternateContent xmlns:mc="http://schemas.openxmlformats.org/markup-compatibility/2006">
          <mc:Choice Requires="x14">
            <control shapeId="16521" r:id="rId140" name="Group Box 137">
              <controlPr defaultSize="0" autoFill="0" autoPict="0">
                <anchor moveWithCells="1">
                  <from>
                    <xdr:col>2</xdr:col>
                    <xdr:colOff>1752600</xdr:colOff>
                    <xdr:row>57</xdr:row>
                    <xdr:rowOff>9525</xdr:rowOff>
                  </from>
                  <to>
                    <xdr:col>5</xdr:col>
                    <xdr:colOff>0</xdr:colOff>
                    <xdr:row>58</xdr:row>
                    <xdr:rowOff>0</xdr:rowOff>
                  </to>
                </anchor>
              </controlPr>
            </control>
          </mc:Choice>
        </mc:AlternateContent>
        <mc:AlternateContent xmlns:mc="http://schemas.openxmlformats.org/markup-compatibility/2006">
          <mc:Choice Requires="x14">
            <control shapeId="16522" r:id="rId141" name="Option Button 138">
              <controlPr defaultSize="0" autoFill="0" autoLine="0" autoPict="0">
                <anchor moveWithCells="1">
                  <from>
                    <xdr:col>3</xdr:col>
                    <xdr:colOff>771525</xdr:colOff>
                    <xdr:row>57</xdr:row>
                    <xdr:rowOff>38100</xdr:rowOff>
                  </from>
                  <to>
                    <xdr:col>3</xdr:col>
                    <xdr:colOff>962025</xdr:colOff>
                    <xdr:row>57</xdr:row>
                    <xdr:rowOff>228600</xdr:rowOff>
                  </to>
                </anchor>
              </controlPr>
            </control>
          </mc:Choice>
        </mc:AlternateContent>
        <mc:AlternateContent xmlns:mc="http://schemas.openxmlformats.org/markup-compatibility/2006">
          <mc:Choice Requires="x14">
            <control shapeId="16523" r:id="rId142" name="Option Button 139">
              <controlPr defaultSize="0" autoFill="0" autoLine="0" autoPict="0">
                <anchor moveWithCells="1">
                  <from>
                    <xdr:col>4</xdr:col>
                    <xdr:colOff>714375</xdr:colOff>
                    <xdr:row>57</xdr:row>
                    <xdr:rowOff>28575</xdr:rowOff>
                  </from>
                  <to>
                    <xdr:col>4</xdr:col>
                    <xdr:colOff>923925</xdr:colOff>
                    <xdr:row>57</xdr:row>
                    <xdr:rowOff>209550</xdr:rowOff>
                  </to>
                </anchor>
              </controlPr>
            </control>
          </mc:Choice>
        </mc:AlternateContent>
        <mc:AlternateContent xmlns:mc="http://schemas.openxmlformats.org/markup-compatibility/2006">
          <mc:Choice Requires="x14">
            <control shapeId="16524" r:id="rId143" name="Group Box 140">
              <controlPr defaultSize="0" autoFill="0" autoPict="0">
                <anchor moveWithCells="1">
                  <from>
                    <xdr:col>2</xdr:col>
                    <xdr:colOff>1762125</xdr:colOff>
                    <xdr:row>60</xdr:row>
                    <xdr:rowOff>9525</xdr:rowOff>
                  </from>
                  <to>
                    <xdr:col>5</xdr:col>
                    <xdr:colOff>9525</xdr:colOff>
                    <xdr:row>61</xdr:row>
                    <xdr:rowOff>0</xdr:rowOff>
                  </to>
                </anchor>
              </controlPr>
            </control>
          </mc:Choice>
        </mc:AlternateContent>
        <mc:AlternateContent xmlns:mc="http://schemas.openxmlformats.org/markup-compatibility/2006">
          <mc:Choice Requires="x14">
            <control shapeId="16525" r:id="rId144" name="Option Button 141">
              <controlPr defaultSize="0" autoFill="0" autoLine="0" autoPict="0">
                <anchor moveWithCells="1">
                  <from>
                    <xdr:col>3</xdr:col>
                    <xdr:colOff>781050</xdr:colOff>
                    <xdr:row>60</xdr:row>
                    <xdr:rowOff>38100</xdr:rowOff>
                  </from>
                  <to>
                    <xdr:col>3</xdr:col>
                    <xdr:colOff>971550</xdr:colOff>
                    <xdr:row>60</xdr:row>
                    <xdr:rowOff>228600</xdr:rowOff>
                  </to>
                </anchor>
              </controlPr>
            </control>
          </mc:Choice>
        </mc:AlternateContent>
        <mc:AlternateContent xmlns:mc="http://schemas.openxmlformats.org/markup-compatibility/2006">
          <mc:Choice Requires="x14">
            <control shapeId="16526" r:id="rId145" name="Option Button 142">
              <controlPr defaultSize="0" autoFill="0" autoLine="0" autoPict="0">
                <anchor moveWithCells="1">
                  <from>
                    <xdr:col>4</xdr:col>
                    <xdr:colOff>723900</xdr:colOff>
                    <xdr:row>60</xdr:row>
                    <xdr:rowOff>28575</xdr:rowOff>
                  </from>
                  <to>
                    <xdr:col>4</xdr:col>
                    <xdr:colOff>933450</xdr:colOff>
                    <xdr:row>60</xdr:row>
                    <xdr:rowOff>209550</xdr:rowOff>
                  </to>
                </anchor>
              </controlPr>
            </control>
          </mc:Choice>
        </mc:AlternateContent>
        <mc:AlternateContent xmlns:mc="http://schemas.openxmlformats.org/markup-compatibility/2006">
          <mc:Choice Requires="x14">
            <control shapeId="16527" r:id="rId146" name="Group Box 143">
              <controlPr defaultSize="0" autoFill="0" autoPict="0">
                <anchor moveWithCells="1">
                  <from>
                    <xdr:col>3</xdr:col>
                    <xdr:colOff>0</xdr:colOff>
                    <xdr:row>61</xdr:row>
                    <xdr:rowOff>9525</xdr:rowOff>
                  </from>
                  <to>
                    <xdr:col>5</xdr:col>
                    <xdr:colOff>9525</xdr:colOff>
                    <xdr:row>62</xdr:row>
                    <xdr:rowOff>0</xdr:rowOff>
                  </to>
                </anchor>
              </controlPr>
            </control>
          </mc:Choice>
        </mc:AlternateContent>
        <mc:AlternateContent xmlns:mc="http://schemas.openxmlformats.org/markup-compatibility/2006">
          <mc:Choice Requires="x14">
            <control shapeId="16528" r:id="rId147" name="Option Button 144">
              <controlPr defaultSize="0" autoFill="0" autoLine="0" autoPict="0">
                <anchor moveWithCells="1">
                  <from>
                    <xdr:col>3</xdr:col>
                    <xdr:colOff>781050</xdr:colOff>
                    <xdr:row>61</xdr:row>
                    <xdr:rowOff>38100</xdr:rowOff>
                  </from>
                  <to>
                    <xdr:col>3</xdr:col>
                    <xdr:colOff>971550</xdr:colOff>
                    <xdr:row>61</xdr:row>
                    <xdr:rowOff>228600</xdr:rowOff>
                  </to>
                </anchor>
              </controlPr>
            </control>
          </mc:Choice>
        </mc:AlternateContent>
        <mc:AlternateContent xmlns:mc="http://schemas.openxmlformats.org/markup-compatibility/2006">
          <mc:Choice Requires="x14">
            <control shapeId="16529" r:id="rId148" name="Option Button 145">
              <controlPr defaultSize="0" autoFill="0" autoLine="0" autoPict="0">
                <anchor moveWithCells="1">
                  <from>
                    <xdr:col>4</xdr:col>
                    <xdr:colOff>723900</xdr:colOff>
                    <xdr:row>61</xdr:row>
                    <xdr:rowOff>28575</xdr:rowOff>
                  </from>
                  <to>
                    <xdr:col>4</xdr:col>
                    <xdr:colOff>933450</xdr:colOff>
                    <xdr:row>61</xdr:row>
                    <xdr:rowOff>209550</xdr:rowOff>
                  </to>
                </anchor>
              </controlPr>
            </control>
          </mc:Choice>
        </mc:AlternateContent>
        <mc:AlternateContent xmlns:mc="http://schemas.openxmlformats.org/markup-compatibility/2006">
          <mc:Choice Requires="x14">
            <control shapeId="16530" r:id="rId149" name="Group Box 146">
              <controlPr defaultSize="0" autoFill="0" autoPict="0">
                <anchor moveWithCells="1">
                  <from>
                    <xdr:col>3</xdr:col>
                    <xdr:colOff>9525</xdr:colOff>
                    <xdr:row>62</xdr:row>
                    <xdr:rowOff>9525</xdr:rowOff>
                  </from>
                  <to>
                    <xdr:col>5</xdr:col>
                    <xdr:colOff>9525</xdr:colOff>
                    <xdr:row>63</xdr:row>
                    <xdr:rowOff>0</xdr:rowOff>
                  </to>
                </anchor>
              </controlPr>
            </control>
          </mc:Choice>
        </mc:AlternateContent>
        <mc:AlternateContent xmlns:mc="http://schemas.openxmlformats.org/markup-compatibility/2006">
          <mc:Choice Requires="x14">
            <control shapeId="16531" r:id="rId150" name="Option Button 147">
              <controlPr defaultSize="0" autoFill="0" autoLine="0" autoPict="0">
                <anchor moveWithCells="1">
                  <from>
                    <xdr:col>3</xdr:col>
                    <xdr:colOff>790575</xdr:colOff>
                    <xdr:row>62</xdr:row>
                    <xdr:rowOff>38100</xdr:rowOff>
                  </from>
                  <to>
                    <xdr:col>4</xdr:col>
                    <xdr:colOff>0</xdr:colOff>
                    <xdr:row>62</xdr:row>
                    <xdr:rowOff>228600</xdr:rowOff>
                  </to>
                </anchor>
              </controlPr>
            </control>
          </mc:Choice>
        </mc:AlternateContent>
        <mc:AlternateContent xmlns:mc="http://schemas.openxmlformats.org/markup-compatibility/2006">
          <mc:Choice Requires="x14">
            <control shapeId="16532" r:id="rId151" name="Option Button 148">
              <controlPr defaultSize="0" autoFill="0" autoLine="0" autoPict="0">
                <anchor moveWithCells="1">
                  <from>
                    <xdr:col>4</xdr:col>
                    <xdr:colOff>733425</xdr:colOff>
                    <xdr:row>62</xdr:row>
                    <xdr:rowOff>28575</xdr:rowOff>
                  </from>
                  <to>
                    <xdr:col>4</xdr:col>
                    <xdr:colOff>942975</xdr:colOff>
                    <xdr:row>62</xdr:row>
                    <xdr:rowOff>209550</xdr:rowOff>
                  </to>
                </anchor>
              </controlPr>
            </control>
          </mc:Choice>
        </mc:AlternateContent>
        <mc:AlternateContent xmlns:mc="http://schemas.openxmlformats.org/markup-compatibility/2006">
          <mc:Choice Requires="x14">
            <control shapeId="16533" r:id="rId152" name="Group Box 149">
              <controlPr defaultSize="0" autoFill="0" autoPict="0">
                <anchor moveWithCells="1">
                  <from>
                    <xdr:col>3</xdr:col>
                    <xdr:colOff>0</xdr:colOff>
                    <xdr:row>63</xdr:row>
                    <xdr:rowOff>9525</xdr:rowOff>
                  </from>
                  <to>
                    <xdr:col>5</xdr:col>
                    <xdr:colOff>9525</xdr:colOff>
                    <xdr:row>64</xdr:row>
                    <xdr:rowOff>0</xdr:rowOff>
                  </to>
                </anchor>
              </controlPr>
            </control>
          </mc:Choice>
        </mc:AlternateContent>
        <mc:AlternateContent xmlns:mc="http://schemas.openxmlformats.org/markup-compatibility/2006">
          <mc:Choice Requires="x14">
            <control shapeId="16534" r:id="rId153" name="Option Button 150">
              <controlPr defaultSize="0" autoFill="0" autoLine="0" autoPict="0">
                <anchor moveWithCells="1">
                  <from>
                    <xdr:col>3</xdr:col>
                    <xdr:colOff>781050</xdr:colOff>
                    <xdr:row>63</xdr:row>
                    <xdr:rowOff>38100</xdr:rowOff>
                  </from>
                  <to>
                    <xdr:col>3</xdr:col>
                    <xdr:colOff>971550</xdr:colOff>
                    <xdr:row>63</xdr:row>
                    <xdr:rowOff>228600</xdr:rowOff>
                  </to>
                </anchor>
              </controlPr>
            </control>
          </mc:Choice>
        </mc:AlternateContent>
        <mc:AlternateContent xmlns:mc="http://schemas.openxmlformats.org/markup-compatibility/2006">
          <mc:Choice Requires="x14">
            <control shapeId="16535" r:id="rId154" name="Option Button 151">
              <controlPr defaultSize="0" autoFill="0" autoLine="0" autoPict="0">
                <anchor moveWithCells="1">
                  <from>
                    <xdr:col>4</xdr:col>
                    <xdr:colOff>723900</xdr:colOff>
                    <xdr:row>63</xdr:row>
                    <xdr:rowOff>28575</xdr:rowOff>
                  </from>
                  <to>
                    <xdr:col>4</xdr:col>
                    <xdr:colOff>933450</xdr:colOff>
                    <xdr:row>63</xdr:row>
                    <xdr:rowOff>209550</xdr:rowOff>
                  </to>
                </anchor>
              </controlPr>
            </control>
          </mc:Choice>
        </mc:AlternateContent>
        <mc:AlternateContent xmlns:mc="http://schemas.openxmlformats.org/markup-compatibility/2006">
          <mc:Choice Requires="x14">
            <control shapeId="16536" r:id="rId155" name="Group Box 152">
              <controlPr defaultSize="0" autoFill="0" autoPict="0">
                <anchor moveWithCells="1">
                  <from>
                    <xdr:col>3</xdr:col>
                    <xdr:colOff>0</xdr:colOff>
                    <xdr:row>64</xdr:row>
                    <xdr:rowOff>9525</xdr:rowOff>
                  </from>
                  <to>
                    <xdr:col>5</xdr:col>
                    <xdr:colOff>9525</xdr:colOff>
                    <xdr:row>65</xdr:row>
                    <xdr:rowOff>0</xdr:rowOff>
                  </to>
                </anchor>
              </controlPr>
            </control>
          </mc:Choice>
        </mc:AlternateContent>
        <mc:AlternateContent xmlns:mc="http://schemas.openxmlformats.org/markup-compatibility/2006">
          <mc:Choice Requires="x14">
            <control shapeId="16537" r:id="rId156" name="Option Button 153">
              <controlPr defaultSize="0" autoFill="0" autoLine="0" autoPict="0">
                <anchor moveWithCells="1">
                  <from>
                    <xdr:col>3</xdr:col>
                    <xdr:colOff>781050</xdr:colOff>
                    <xdr:row>64</xdr:row>
                    <xdr:rowOff>38100</xdr:rowOff>
                  </from>
                  <to>
                    <xdr:col>3</xdr:col>
                    <xdr:colOff>971550</xdr:colOff>
                    <xdr:row>64</xdr:row>
                    <xdr:rowOff>228600</xdr:rowOff>
                  </to>
                </anchor>
              </controlPr>
            </control>
          </mc:Choice>
        </mc:AlternateContent>
        <mc:AlternateContent xmlns:mc="http://schemas.openxmlformats.org/markup-compatibility/2006">
          <mc:Choice Requires="x14">
            <control shapeId="16538" r:id="rId157" name="Option Button 154">
              <controlPr defaultSize="0" autoFill="0" autoLine="0" autoPict="0">
                <anchor moveWithCells="1">
                  <from>
                    <xdr:col>4</xdr:col>
                    <xdr:colOff>723900</xdr:colOff>
                    <xdr:row>64</xdr:row>
                    <xdr:rowOff>28575</xdr:rowOff>
                  </from>
                  <to>
                    <xdr:col>4</xdr:col>
                    <xdr:colOff>933450</xdr:colOff>
                    <xdr:row>64</xdr:row>
                    <xdr:rowOff>209550</xdr:rowOff>
                  </to>
                </anchor>
              </controlPr>
            </control>
          </mc:Choice>
        </mc:AlternateContent>
        <mc:AlternateContent xmlns:mc="http://schemas.openxmlformats.org/markup-compatibility/2006">
          <mc:Choice Requires="x14">
            <control shapeId="16539" r:id="rId158" name="Group Box 155">
              <controlPr defaultSize="0" autoFill="0" autoPict="0">
                <anchor moveWithCells="1">
                  <from>
                    <xdr:col>2</xdr:col>
                    <xdr:colOff>1752600</xdr:colOff>
                    <xdr:row>67</xdr:row>
                    <xdr:rowOff>9525</xdr:rowOff>
                  </from>
                  <to>
                    <xdr:col>5</xdr:col>
                    <xdr:colOff>0</xdr:colOff>
                    <xdr:row>68</xdr:row>
                    <xdr:rowOff>0</xdr:rowOff>
                  </to>
                </anchor>
              </controlPr>
            </control>
          </mc:Choice>
        </mc:AlternateContent>
        <mc:AlternateContent xmlns:mc="http://schemas.openxmlformats.org/markup-compatibility/2006">
          <mc:Choice Requires="x14">
            <control shapeId="16540" r:id="rId159" name="Option Button 156">
              <controlPr defaultSize="0" autoFill="0" autoLine="0" autoPict="0">
                <anchor moveWithCells="1">
                  <from>
                    <xdr:col>3</xdr:col>
                    <xdr:colOff>771525</xdr:colOff>
                    <xdr:row>67</xdr:row>
                    <xdr:rowOff>38100</xdr:rowOff>
                  </from>
                  <to>
                    <xdr:col>3</xdr:col>
                    <xdr:colOff>962025</xdr:colOff>
                    <xdr:row>67</xdr:row>
                    <xdr:rowOff>228600</xdr:rowOff>
                  </to>
                </anchor>
              </controlPr>
            </control>
          </mc:Choice>
        </mc:AlternateContent>
        <mc:AlternateContent xmlns:mc="http://schemas.openxmlformats.org/markup-compatibility/2006">
          <mc:Choice Requires="x14">
            <control shapeId="16541" r:id="rId160" name="Option Button 157">
              <controlPr defaultSize="0" autoFill="0" autoLine="0" autoPict="0">
                <anchor moveWithCells="1">
                  <from>
                    <xdr:col>4</xdr:col>
                    <xdr:colOff>714375</xdr:colOff>
                    <xdr:row>67</xdr:row>
                    <xdr:rowOff>28575</xdr:rowOff>
                  </from>
                  <to>
                    <xdr:col>4</xdr:col>
                    <xdr:colOff>923925</xdr:colOff>
                    <xdr:row>67</xdr:row>
                    <xdr:rowOff>209550</xdr:rowOff>
                  </to>
                </anchor>
              </controlPr>
            </control>
          </mc:Choice>
        </mc:AlternateContent>
        <mc:AlternateContent xmlns:mc="http://schemas.openxmlformats.org/markup-compatibility/2006">
          <mc:Choice Requires="x14">
            <control shapeId="16542" r:id="rId161" name="Group Box 158">
              <controlPr defaultSize="0" autoFill="0" autoPict="0">
                <anchor moveWithCells="1">
                  <from>
                    <xdr:col>2</xdr:col>
                    <xdr:colOff>1752600</xdr:colOff>
                    <xdr:row>68</xdr:row>
                    <xdr:rowOff>9525</xdr:rowOff>
                  </from>
                  <to>
                    <xdr:col>5</xdr:col>
                    <xdr:colOff>0</xdr:colOff>
                    <xdr:row>69</xdr:row>
                    <xdr:rowOff>0</xdr:rowOff>
                  </to>
                </anchor>
              </controlPr>
            </control>
          </mc:Choice>
        </mc:AlternateContent>
        <mc:AlternateContent xmlns:mc="http://schemas.openxmlformats.org/markup-compatibility/2006">
          <mc:Choice Requires="x14">
            <control shapeId="16543" r:id="rId162" name="Option Button 159">
              <controlPr defaultSize="0" autoFill="0" autoLine="0" autoPict="0">
                <anchor moveWithCells="1">
                  <from>
                    <xdr:col>3</xdr:col>
                    <xdr:colOff>771525</xdr:colOff>
                    <xdr:row>68</xdr:row>
                    <xdr:rowOff>38100</xdr:rowOff>
                  </from>
                  <to>
                    <xdr:col>3</xdr:col>
                    <xdr:colOff>962025</xdr:colOff>
                    <xdr:row>68</xdr:row>
                    <xdr:rowOff>228600</xdr:rowOff>
                  </to>
                </anchor>
              </controlPr>
            </control>
          </mc:Choice>
        </mc:AlternateContent>
        <mc:AlternateContent xmlns:mc="http://schemas.openxmlformats.org/markup-compatibility/2006">
          <mc:Choice Requires="x14">
            <control shapeId="16544" r:id="rId163" name="Option Button 160">
              <controlPr defaultSize="0" autoFill="0" autoLine="0" autoPict="0">
                <anchor moveWithCells="1">
                  <from>
                    <xdr:col>4</xdr:col>
                    <xdr:colOff>714375</xdr:colOff>
                    <xdr:row>68</xdr:row>
                    <xdr:rowOff>28575</xdr:rowOff>
                  </from>
                  <to>
                    <xdr:col>4</xdr:col>
                    <xdr:colOff>923925</xdr:colOff>
                    <xdr:row>68</xdr:row>
                    <xdr:rowOff>209550</xdr:rowOff>
                  </to>
                </anchor>
              </controlPr>
            </control>
          </mc:Choice>
        </mc:AlternateContent>
        <mc:AlternateContent xmlns:mc="http://schemas.openxmlformats.org/markup-compatibility/2006">
          <mc:Choice Requires="x14">
            <control shapeId="16545" r:id="rId164" name="Group Box 161">
              <controlPr defaultSize="0" autoFill="0" autoPict="0">
                <anchor moveWithCells="1">
                  <from>
                    <xdr:col>2</xdr:col>
                    <xdr:colOff>1752600</xdr:colOff>
                    <xdr:row>69</xdr:row>
                    <xdr:rowOff>9525</xdr:rowOff>
                  </from>
                  <to>
                    <xdr:col>5</xdr:col>
                    <xdr:colOff>0</xdr:colOff>
                    <xdr:row>70</xdr:row>
                    <xdr:rowOff>0</xdr:rowOff>
                  </to>
                </anchor>
              </controlPr>
            </control>
          </mc:Choice>
        </mc:AlternateContent>
        <mc:AlternateContent xmlns:mc="http://schemas.openxmlformats.org/markup-compatibility/2006">
          <mc:Choice Requires="x14">
            <control shapeId="16546" r:id="rId165" name="Option Button 162">
              <controlPr defaultSize="0" autoFill="0" autoLine="0" autoPict="0">
                <anchor moveWithCells="1">
                  <from>
                    <xdr:col>3</xdr:col>
                    <xdr:colOff>771525</xdr:colOff>
                    <xdr:row>69</xdr:row>
                    <xdr:rowOff>38100</xdr:rowOff>
                  </from>
                  <to>
                    <xdr:col>3</xdr:col>
                    <xdr:colOff>962025</xdr:colOff>
                    <xdr:row>69</xdr:row>
                    <xdr:rowOff>228600</xdr:rowOff>
                  </to>
                </anchor>
              </controlPr>
            </control>
          </mc:Choice>
        </mc:AlternateContent>
        <mc:AlternateContent xmlns:mc="http://schemas.openxmlformats.org/markup-compatibility/2006">
          <mc:Choice Requires="x14">
            <control shapeId="16547" r:id="rId166" name="Option Button 163">
              <controlPr defaultSize="0" autoFill="0" autoLine="0" autoPict="0">
                <anchor moveWithCells="1">
                  <from>
                    <xdr:col>4</xdr:col>
                    <xdr:colOff>714375</xdr:colOff>
                    <xdr:row>69</xdr:row>
                    <xdr:rowOff>28575</xdr:rowOff>
                  </from>
                  <to>
                    <xdr:col>4</xdr:col>
                    <xdr:colOff>923925</xdr:colOff>
                    <xdr:row>69</xdr:row>
                    <xdr:rowOff>209550</xdr:rowOff>
                  </to>
                </anchor>
              </controlPr>
            </control>
          </mc:Choice>
        </mc:AlternateContent>
        <mc:AlternateContent xmlns:mc="http://schemas.openxmlformats.org/markup-compatibility/2006">
          <mc:Choice Requires="x14">
            <control shapeId="16548" r:id="rId167" name="Group Box 164">
              <controlPr defaultSize="0" autoFill="0" autoPict="0">
                <anchor moveWithCells="1">
                  <from>
                    <xdr:col>2</xdr:col>
                    <xdr:colOff>1752600</xdr:colOff>
                    <xdr:row>70</xdr:row>
                    <xdr:rowOff>9525</xdr:rowOff>
                  </from>
                  <to>
                    <xdr:col>5</xdr:col>
                    <xdr:colOff>0</xdr:colOff>
                    <xdr:row>71</xdr:row>
                    <xdr:rowOff>0</xdr:rowOff>
                  </to>
                </anchor>
              </controlPr>
            </control>
          </mc:Choice>
        </mc:AlternateContent>
        <mc:AlternateContent xmlns:mc="http://schemas.openxmlformats.org/markup-compatibility/2006">
          <mc:Choice Requires="x14">
            <control shapeId="16549" r:id="rId168" name="Option Button 165">
              <controlPr defaultSize="0" autoFill="0" autoLine="0" autoPict="0">
                <anchor moveWithCells="1">
                  <from>
                    <xdr:col>3</xdr:col>
                    <xdr:colOff>771525</xdr:colOff>
                    <xdr:row>70</xdr:row>
                    <xdr:rowOff>38100</xdr:rowOff>
                  </from>
                  <to>
                    <xdr:col>3</xdr:col>
                    <xdr:colOff>962025</xdr:colOff>
                    <xdr:row>70</xdr:row>
                    <xdr:rowOff>228600</xdr:rowOff>
                  </to>
                </anchor>
              </controlPr>
            </control>
          </mc:Choice>
        </mc:AlternateContent>
        <mc:AlternateContent xmlns:mc="http://schemas.openxmlformats.org/markup-compatibility/2006">
          <mc:Choice Requires="x14">
            <control shapeId="16550" r:id="rId169" name="Option Button 166">
              <controlPr defaultSize="0" autoFill="0" autoLine="0" autoPict="0">
                <anchor moveWithCells="1">
                  <from>
                    <xdr:col>4</xdr:col>
                    <xdr:colOff>714375</xdr:colOff>
                    <xdr:row>70</xdr:row>
                    <xdr:rowOff>28575</xdr:rowOff>
                  </from>
                  <to>
                    <xdr:col>4</xdr:col>
                    <xdr:colOff>923925</xdr:colOff>
                    <xdr:row>70</xdr:row>
                    <xdr:rowOff>209550</xdr:rowOff>
                  </to>
                </anchor>
              </controlPr>
            </control>
          </mc:Choice>
        </mc:AlternateContent>
        <mc:AlternateContent xmlns:mc="http://schemas.openxmlformats.org/markup-compatibility/2006">
          <mc:Choice Requires="x14">
            <control shapeId="16551" r:id="rId170" name="Group Box 167">
              <controlPr defaultSize="0" autoFill="0" autoPict="0">
                <anchor moveWithCells="1">
                  <from>
                    <xdr:col>2</xdr:col>
                    <xdr:colOff>1752600</xdr:colOff>
                    <xdr:row>71</xdr:row>
                    <xdr:rowOff>9525</xdr:rowOff>
                  </from>
                  <to>
                    <xdr:col>5</xdr:col>
                    <xdr:colOff>0</xdr:colOff>
                    <xdr:row>72</xdr:row>
                    <xdr:rowOff>0</xdr:rowOff>
                  </to>
                </anchor>
              </controlPr>
            </control>
          </mc:Choice>
        </mc:AlternateContent>
        <mc:AlternateContent xmlns:mc="http://schemas.openxmlformats.org/markup-compatibility/2006">
          <mc:Choice Requires="x14">
            <control shapeId="16552" r:id="rId171" name="Option Button 168">
              <controlPr defaultSize="0" autoFill="0" autoLine="0" autoPict="0">
                <anchor moveWithCells="1">
                  <from>
                    <xdr:col>3</xdr:col>
                    <xdr:colOff>771525</xdr:colOff>
                    <xdr:row>71</xdr:row>
                    <xdr:rowOff>38100</xdr:rowOff>
                  </from>
                  <to>
                    <xdr:col>3</xdr:col>
                    <xdr:colOff>962025</xdr:colOff>
                    <xdr:row>71</xdr:row>
                    <xdr:rowOff>228600</xdr:rowOff>
                  </to>
                </anchor>
              </controlPr>
            </control>
          </mc:Choice>
        </mc:AlternateContent>
        <mc:AlternateContent xmlns:mc="http://schemas.openxmlformats.org/markup-compatibility/2006">
          <mc:Choice Requires="x14">
            <control shapeId="16553" r:id="rId172" name="Option Button 169">
              <controlPr defaultSize="0" autoFill="0" autoLine="0" autoPict="0">
                <anchor moveWithCells="1">
                  <from>
                    <xdr:col>4</xdr:col>
                    <xdr:colOff>714375</xdr:colOff>
                    <xdr:row>71</xdr:row>
                    <xdr:rowOff>28575</xdr:rowOff>
                  </from>
                  <to>
                    <xdr:col>4</xdr:col>
                    <xdr:colOff>923925</xdr:colOff>
                    <xdr:row>71</xdr:row>
                    <xdr:rowOff>209550</xdr:rowOff>
                  </to>
                </anchor>
              </controlPr>
            </control>
          </mc:Choice>
        </mc:AlternateContent>
        <mc:AlternateContent xmlns:mc="http://schemas.openxmlformats.org/markup-compatibility/2006">
          <mc:Choice Requires="x14">
            <control shapeId="16554" r:id="rId173" name="Group Box 170">
              <controlPr defaultSize="0" autoFill="0" autoPict="0">
                <anchor moveWithCells="1">
                  <from>
                    <xdr:col>2</xdr:col>
                    <xdr:colOff>1752600</xdr:colOff>
                    <xdr:row>74</xdr:row>
                    <xdr:rowOff>9525</xdr:rowOff>
                  </from>
                  <to>
                    <xdr:col>5</xdr:col>
                    <xdr:colOff>0</xdr:colOff>
                    <xdr:row>75</xdr:row>
                    <xdr:rowOff>0</xdr:rowOff>
                  </to>
                </anchor>
              </controlPr>
            </control>
          </mc:Choice>
        </mc:AlternateContent>
        <mc:AlternateContent xmlns:mc="http://schemas.openxmlformats.org/markup-compatibility/2006">
          <mc:Choice Requires="x14">
            <control shapeId="16555" r:id="rId174" name="Option Button 171">
              <controlPr defaultSize="0" autoFill="0" autoLine="0" autoPict="0">
                <anchor moveWithCells="1">
                  <from>
                    <xdr:col>3</xdr:col>
                    <xdr:colOff>771525</xdr:colOff>
                    <xdr:row>74</xdr:row>
                    <xdr:rowOff>38100</xdr:rowOff>
                  </from>
                  <to>
                    <xdr:col>3</xdr:col>
                    <xdr:colOff>962025</xdr:colOff>
                    <xdr:row>74</xdr:row>
                    <xdr:rowOff>228600</xdr:rowOff>
                  </to>
                </anchor>
              </controlPr>
            </control>
          </mc:Choice>
        </mc:AlternateContent>
        <mc:AlternateContent xmlns:mc="http://schemas.openxmlformats.org/markup-compatibility/2006">
          <mc:Choice Requires="x14">
            <control shapeId="16556" r:id="rId175" name="Option Button 172">
              <controlPr defaultSize="0" autoFill="0" autoLine="0" autoPict="0">
                <anchor moveWithCells="1">
                  <from>
                    <xdr:col>4</xdr:col>
                    <xdr:colOff>714375</xdr:colOff>
                    <xdr:row>74</xdr:row>
                    <xdr:rowOff>28575</xdr:rowOff>
                  </from>
                  <to>
                    <xdr:col>4</xdr:col>
                    <xdr:colOff>923925</xdr:colOff>
                    <xdr:row>74</xdr:row>
                    <xdr:rowOff>209550</xdr:rowOff>
                  </to>
                </anchor>
              </controlPr>
            </control>
          </mc:Choice>
        </mc:AlternateContent>
        <mc:AlternateContent xmlns:mc="http://schemas.openxmlformats.org/markup-compatibility/2006">
          <mc:Choice Requires="x14">
            <control shapeId="16557" r:id="rId176" name="Group Box 173">
              <controlPr defaultSize="0" autoFill="0" autoPict="0">
                <anchor moveWithCells="1">
                  <from>
                    <xdr:col>2</xdr:col>
                    <xdr:colOff>1752600</xdr:colOff>
                    <xdr:row>75</xdr:row>
                    <xdr:rowOff>9525</xdr:rowOff>
                  </from>
                  <to>
                    <xdr:col>5</xdr:col>
                    <xdr:colOff>0</xdr:colOff>
                    <xdr:row>76</xdr:row>
                    <xdr:rowOff>0</xdr:rowOff>
                  </to>
                </anchor>
              </controlPr>
            </control>
          </mc:Choice>
        </mc:AlternateContent>
        <mc:AlternateContent xmlns:mc="http://schemas.openxmlformats.org/markup-compatibility/2006">
          <mc:Choice Requires="x14">
            <control shapeId="16558" r:id="rId177" name="Option Button 174">
              <controlPr defaultSize="0" autoFill="0" autoLine="0" autoPict="0">
                <anchor moveWithCells="1">
                  <from>
                    <xdr:col>3</xdr:col>
                    <xdr:colOff>771525</xdr:colOff>
                    <xdr:row>75</xdr:row>
                    <xdr:rowOff>38100</xdr:rowOff>
                  </from>
                  <to>
                    <xdr:col>3</xdr:col>
                    <xdr:colOff>962025</xdr:colOff>
                    <xdr:row>75</xdr:row>
                    <xdr:rowOff>228600</xdr:rowOff>
                  </to>
                </anchor>
              </controlPr>
            </control>
          </mc:Choice>
        </mc:AlternateContent>
        <mc:AlternateContent xmlns:mc="http://schemas.openxmlformats.org/markup-compatibility/2006">
          <mc:Choice Requires="x14">
            <control shapeId="16559" r:id="rId178" name="Option Button 175">
              <controlPr defaultSize="0" autoFill="0" autoLine="0" autoPict="0">
                <anchor moveWithCells="1">
                  <from>
                    <xdr:col>4</xdr:col>
                    <xdr:colOff>714375</xdr:colOff>
                    <xdr:row>75</xdr:row>
                    <xdr:rowOff>28575</xdr:rowOff>
                  </from>
                  <to>
                    <xdr:col>4</xdr:col>
                    <xdr:colOff>923925</xdr:colOff>
                    <xdr:row>75</xdr:row>
                    <xdr:rowOff>209550</xdr:rowOff>
                  </to>
                </anchor>
              </controlPr>
            </control>
          </mc:Choice>
        </mc:AlternateContent>
        <mc:AlternateContent xmlns:mc="http://schemas.openxmlformats.org/markup-compatibility/2006">
          <mc:Choice Requires="x14">
            <control shapeId="16560" r:id="rId179" name="Group Box 176">
              <controlPr defaultSize="0" autoFill="0" autoPict="0">
                <anchor moveWithCells="1">
                  <from>
                    <xdr:col>2</xdr:col>
                    <xdr:colOff>1752600</xdr:colOff>
                    <xdr:row>76</xdr:row>
                    <xdr:rowOff>9525</xdr:rowOff>
                  </from>
                  <to>
                    <xdr:col>5</xdr:col>
                    <xdr:colOff>0</xdr:colOff>
                    <xdr:row>77</xdr:row>
                    <xdr:rowOff>0</xdr:rowOff>
                  </to>
                </anchor>
              </controlPr>
            </control>
          </mc:Choice>
        </mc:AlternateContent>
        <mc:AlternateContent xmlns:mc="http://schemas.openxmlformats.org/markup-compatibility/2006">
          <mc:Choice Requires="x14">
            <control shapeId="16561" r:id="rId180" name="Option Button 177">
              <controlPr defaultSize="0" autoFill="0" autoLine="0" autoPict="0">
                <anchor moveWithCells="1">
                  <from>
                    <xdr:col>3</xdr:col>
                    <xdr:colOff>771525</xdr:colOff>
                    <xdr:row>76</xdr:row>
                    <xdr:rowOff>38100</xdr:rowOff>
                  </from>
                  <to>
                    <xdr:col>3</xdr:col>
                    <xdr:colOff>962025</xdr:colOff>
                    <xdr:row>76</xdr:row>
                    <xdr:rowOff>228600</xdr:rowOff>
                  </to>
                </anchor>
              </controlPr>
            </control>
          </mc:Choice>
        </mc:AlternateContent>
        <mc:AlternateContent xmlns:mc="http://schemas.openxmlformats.org/markup-compatibility/2006">
          <mc:Choice Requires="x14">
            <control shapeId="16562" r:id="rId181" name="Option Button 178">
              <controlPr defaultSize="0" autoFill="0" autoLine="0" autoPict="0">
                <anchor moveWithCells="1">
                  <from>
                    <xdr:col>4</xdr:col>
                    <xdr:colOff>714375</xdr:colOff>
                    <xdr:row>76</xdr:row>
                    <xdr:rowOff>28575</xdr:rowOff>
                  </from>
                  <to>
                    <xdr:col>4</xdr:col>
                    <xdr:colOff>923925</xdr:colOff>
                    <xdr:row>76</xdr:row>
                    <xdr:rowOff>209550</xdr:rowOff>
                  </to>
                </anchor>
              </controlPr>
            </control>
          </mc:Choice>
        </mc:AlternateContent>
        <mc:AlternateContent xmlns:mc="http://schemas.openxmlformats.org/markup-compatibility/2006">
          <mc:Choice Requires="x14">
            <control shapeId="16563" r:id="rId182" name="Group Box 179">
              <controlPr defaultSize="0" autoFill="0" autoPict="0">
                <anchor moveWithCells="1">
                  <from>
                    <xdr:col>2</xdr:col>
                    <xdr:colOff>1752600</xdr:colOff>
                    <xdr:row>77</xdr:row>
                    <xdr:rowOff>9525</xdr:rowOff>
                  </from>
                  <to>
                    <xdr:col>5</xdr:col>
                    <xdr:colOff>0</xdr:colOff>
                    <xdr:row>78</xdr:row>
                    <xdr:rowOff>0</xdr:rowOff>
                  </to>
                </anchor>
              </controlPr>
            </control>
          </mc:Choice>
        </mc:AlternateContent>
        <mc:AlternateContent xmlns:mc="http://schemas.openxmlformats.org/markup-compatibility/2006">
          <mc:Choice Requires="x14">
            <control shapeId="16564" r:id="rId183" name="Option Button 180">
              <controlPr defaultSize="0" autoFill="0" autoLine="0" autoPict="0">
                <anchor moveWithCells="1">
                  <from>
                    <xdr:col>3</xdr:col>
                    <xdr:colOff>771525</xdr:colOff>
                    <xdr:row>77</xdr:row>
                    <xdr:rowOff>38100</xdr:rowOff>
                  </from>
                  <to>
                    <xdr:col>3</xdr:col>
                    <xdr:colOff>962025</xdr:colOff>
                    <xdr:row>77</xdr:row>
                    <xdr:rowOff>228600</xdr:rowOff>
                  </to>
                </anchor>
              </controlPr>
            </control>
          </mc:Choice>
        </mc:AlternateContent>
        <mc:AlternateContent xmlns:mc="http://schemas.openxmlformats.org/markup-compatibility/2006">
          <mc:Choice Requires="x14">
            <control shapeId="16565" r:id="rId184" name="Option Button 181">
              <controlPr defaultSize="0" autoFill="0" autoLine="0" autoPict="0">
                <anchor moveWithCells="1">
                  <from>
                    <xdr:col>4</xdr:col>
                    <xdr:colOff>714375</xdr:colOff>
                    <xdr:row>77</xdr:row>
                    <xdr:rowOff>28575</xdr:rowOff>
                  </from>
                  <to>
                    <xdr:col>4</xdr:col>
                    <xdr:colOff>923925</xdr:colOff>
                    <xdr:row>77</xdr:row>
                    <xdr:rowOff>209550</xdr:rowOff>
                  </to>
                </anchor>
              </controlPr>
            </control>
          </mc:Choice>
        </mc:AlternateContent>
        <mc:AlternateContent xmlns:mc="http://schemas.openxmlformats.org/markup-compatibility/2006">
          <mc:Choice Requires="x14">
            <control shapeId="16566" r:id="rId185" name="Group Box 182">
              <controlPr defaultSize="0" autoFill="0" autoPict="0">
                <anchor moveWithCells="1">
                  <from>
                    <xdr:col>2</xdr:col>
                    <xdr:colOff>1752600</xdr:colOff>
                    <xdr:row>78</xdr:row>
                    <xdr:rowOff>9525</xdr:rowOff>
                  </from>
                  <to>
                    <xdr:col>5</xdr:col>
                    <xdr:colOff>0</xdr:colOff>
                    <xdr:row>79</xdr:row>
                    <xdr:rowOff>0</xdr:rowOff>
                  </to>
                </anchor>
              </controlPr>
            </control>
          </mc:Choice>
        </mc:AlternateContent>
        <mc:AlternateContent xmlns:mc="http://schemas.openxmlformats.org/markup-compatibility/2006">
          <mc:Choice Requires="x14">
            <control shapeId="16567" r:id="rId186" name="Option Button 183">
              <controlPr defaultSize="0" autoFill="0" autoLine="0" autoPict="0">
                <anchor moveWithCells="1">
                  <from>
                    <xdr:col>3</xdr:col>
                    <xdr:colOff>771525</xdr:colOff>
                    <xdr:row>78</xdr:row>
                    <xdr:rowOff>38100</xdr:rowOff>
                  </from>
                  <to>
                    <xdr:col>3</xdr:col>
                    <xdr:colOff>962025</xdr:colOff>
                    <xdr:row>78</xdr:row>
                    <xdr:rowOff>228600</xdr:rowOff>
                  </to>
                </anchor>
              </controlPr>
            </control>
          </mc:Choice>
        </mc:AlternateContent>
        <mc:AlternateContent xmlns:mc="http://schemas.openxmlformats.org/markup-compatibility/2006">
          <mc:Choice Requires="x14">
            <control shapeId="16568" r:id="rId187" name="Option Button 184">
              <controlPr defaultSize="0" autoFill="0" autoLine="0" autoPict="0">
                <anchor moveWithCells="1">
                  <from>
                    <xdr:col>4</xdr:col>
                    <xdr:colOff>714375</xdr:colOff>
                    <xdr:row>78</xdr:row>
                    <xdr:rowOff>28575</xdr:rowOff>
                  </from>
                  <to>
                    <xdr:col>4</xdr:col>
                    <xdr:colOff>923925</xdr:colOff>
                    <xdr:row>78</xdr:row>
                    <xdr:rowOff>209550</xdr:rowOff>
                  </to>
                </anchor>
              </controlPr>
            </control>
          </mc:Choice>
        </mc:AlternateContent>
        <mc:AlternateContent xmlns:mc="http://schemas.openxmlformats.org/markup-compatibility/2006">
          <mc:Choice Requires="x14">
            <control shapeId="16569" r:id="rId188" name="Group Box 185">
              <controlPr defaultSize="0" autoFill="0" autoPict="0">
                <anchor moveWithCells="1">
                  <from>
                    <xdr:col>2</xdr:col>
                    <xdr:colOff>1752600</xdr:colOff>
                    <xdr:row>81</xdr:row>
                    <xdr:rowOff>9525</xdr:rowOff>
                  </from>
                  <to>
                    <xdr:col>5</xdr:col>
                    <xdr:colOff>0</xdr:colOff>
                    <xdr:row>82</xdr:row>
                    <xdr:rowOff>0</xdr:rowOff>
                  </to>
                </anchor>
              </controlPr>
            </control>
          </mc:Choice>
        </mc:AlternateContent>
        <mc:AlternateContent xmlns:mc="http://schemas.openxmlformats.org/markup-compatibility/2006">
          <mc:Choice Requires="x14">
            <control shapeId="16570" r:id="rId189" name="Option Button 186">
              <controlPr defaultSize="0" autoFill="0" autoLine="0" autoPict="0">
                <anchor moveWithCells="1">
                  <from>
                    <xdr:col>3</xdr:col>
                    <xdr:colOff>771525</xdr:colOff>
                    <xdr:row>81</xdr:row>
                    <xdr:rowOff>38100</xdr:rowOff>
                  </from>
                  <to>
                    <xdr:col>3</xdr:col>
                    <xdr:colOff>962025</xdr:colOff>
                    <xdr:row>81</xdr:row>
                    <xdr:rowOff>228600</xdr:rowOff>
                  </to>
                </anchor>
              </controlPr>
            </control>
          </mc:Choice>
        </mc:AlternateContent>
        <mc:AlternateContent xmlns:mc="http://schemas.openxmlformats.org/markup-compatibility/2006">
          <mc:Choice Requires="x14">
            <control shapeId="16571" r:id="rId190" name="Option Button 187">
              <controlPr defaultSize="0" autoFill="0" autoLine="0" autoPict="0">
                <anchor moveWithCells="1">
                  <from>
                    <xdr:col>4</xdr:col>
                    <xdr:colOff>714375</xdr:colOff>
                    <xdr:row>81</xdr:row>
                    <xdr:rowOff>28575</xdr:rowOff>
                  </from>
                  <to>
                    <xdr:col>4</xdr:col>
                    <xdr:colOff>923925</xdr:colOff>
                    <xdr:row>81</xdr:row>
                    <xdr:rowOff>209550</xdr:rowOff>
                  </to>
                </anchor>
              </controlPr>
            </control>
          </mc:Choice>
        </mc:AlternateContent>
        <mc:AlternateContent xmlns:mc="http://schemas.openxmlformats.org/markup-compatibility/2006">
          <mc:Choice Requires="x14">
            <control shapeId="16572" r:id="rId191" name="Group Box 188">
              <controlPr defaultSize="0" autoFill="0" autoPict="0">
                <anchor moveWithCells="1">
                  <from>
                    <xdr:col>2</xdr:col>
                    <xdr:colOff>1752600</xdr:colOff>
                    <xdr:row>82</xdr:row>
                    <xdr:rowOff>9525</xdr:rowOff>
                  </from>
                  <to>
                    <xdr:col>5</xdr:col>
                    <xdr:colOff>0</xdr:colOff>
                    <xdr:row>83</xdr:row>
                    <xdr:rowOff>0</xdr:rowOff>
                  </to>
                </anchor>
              </controlPr>
            </control>
          </mc:Choice>
        </mc:AlternateContent>
        <mc:AlternateContent xmlns:mc="http://schemas.openxmlformats.org/markup-compatibility/2006">
          <mc:Choice Requires="x14">
            <control shapeId="16573" r:id="rId192" name="Option Button 189">
              <controlPr defaultSize="0" autoFill="0" autoLine="0" autoPict="0">
                <anchor moveWithCells="1">
                  <from>
                    <xdr:col>3</xdr:col>
                    <xdr:colOff>771525</xdr:colOff>
                    <xdr:row>82</xdr:row>
                    <xdr:rowOff>38100</xdr:rowOff>
                  </from>
                  <to>
                    <xdr:col>3</xdr:col>
                    <xdr:colOff>962025</xdr:colOff>
                    <xdr:row>82</xdr:row>
                    <xdr:rowOff>228600</xdr:rowOff>
                  </to>
                </anchor>
              </controlPr>
            </control>
          </mc:Choice>
        </mc:AlternateContent>
        <mc:AlternateContent xmlns:mc="http://schemas.openxmlformats.org/markup-compatibility/2006">
          <mc:Choice Requires="x14">
            <control shapeId="16574" r:id="rId193" name="Option Button 190">
              <controlPr defaultSize="0" autoFill="0" autoLine="0" autoPict="0">
                <anchor moveWithCells="1">
                  <from>
                    <xdr:col>4</xdr:col>
                    <xdr:colOff>714375</xdr:colOff>
                    <xdr:row>82</xdr:row>
                    <xdr:rowOff>28575</xdr:rowOff>
                  </from>
                  <to>
                    <xdr:col>4</xdr:col>
                    <xdr:colOff>923925</xdr:colOff>
                    <xdr:row>82</xdr:row>
                    <xdr:rowOff>209550</xdr:rowOff>
                  </to>
                </anchor>
              </controlPr>
            </control>
          </mc:Choice>
        </mc:AlternateContent>
        <mc:AlternateContent xmlns:mc="http://schemas.openxmlformats.org/markup-compatibility/2006">
          <mc:Choice Requires="x14">
            <control shapeId="16575" r:id="rId194" name="Group Box 191">
              <controlPr defaultSize="0" autoFill="0" autoPict="0">
                <anchor moveWithCells="1">
                  <from>
                    <xdr:col>2</xdr:col>
                    <xdr:colOff>1752600</xdr:colOff>
                    <xdr:row>83</xdr:row>
                    <xdr:rowOff>9525</xdr:rowOff>
                  </from>
                  <to>
                    <xdr:col>5</xdr:col>
                    <xdr:colOff>0</xdr:colOff>
                    <xdr:row>84</xdr:row>
                    <xdr:rowOff>0</xdr:rowOff>
                  </to>
                </anchor>
              </controlPr>
            </control>
          </mc:Choice>
        </mc:AlternateContent>
        <mc:AlternateContent xmlns:mc="http://schemas.openxmlformats.org/markup-compatibility/2006">
          <mc:Choice Requires="x14">
            <control shapeId="16576" r:id="rId195" name="Option Button 192">
              <controlPr defaultSize="0" autoFill="0" autoLine="0" autoPict="0">
                <anchor moveWithCells="1">
                  <from>
                    <xdr:col>3</xdr:col>
                    <xdr:colOff>771525</xdr:colOff>
                    <xdr:row>83</xdr:row>
                    <xdr:rowOff>38100</xdr:rowOff>
                  </from>
                  <to>
                    <xdr:col>3</xdr:col>
                    <xdr:colOff>962025</xdr:colOff>
                    <xdr:row>83</xdr:row>
                    <xdr:rowOff>228600</xdr:rowOff>
                  </to>
                </anchor>
              </controlPr>
            </control>
          </mc:Choice>
        </mc:AlternateContent>
        <mc:AlternateContent xmlns:mc="http://schemas.openxmlformats.org/markup-compatibility/2006">
          <mc:Choice Requires="x14">
            <control shapeId="16577" r:id="rId196" name="Option Button 193">
              <controlPr defaultSize="0" autoFill="0" autoLine="0" autoPict="0">
                <anchor moveWithCells="1">
                  <from>
                    <xdr:col>4</xdr:col>
                    <xdr:colOff>714375</xdr:colOff>
                    <xdr:row>83</xdr:row>
                    <xdr:rowOff>28575</xdr:rowOff>
                  </from>
                  <to>
                    <xdr:col>4</xdr:col>
                    <xdr:colOff>923925</xdr:colOff>
                    <xdr:row>83</xdr:row>
                    <xdr:rowOff>209550</xdr:rowOff>
                  </to>
                </anchor>
              </controlPr>
            </control>
          </mc:Choice>
        </mc:AlternateContent>
        <mc:AlternateContent xmlns:mc="http://schemas.openxmlformats.org/markup-compatibility/2006">
          <mc:Choice Requires="x14">
            <control shapeId="16578" r:id="rId197" name="Group Box 194">
              <controlPr defaultSize="0" autoFill="0" autoPict="0">
                <anchor moveWithCells="1">
                  <from>
                    <xdr:col>2</xdr:col>
                    <xdr:colOff>1752600</xdr:colOff>
                    <xdr:row>84</xdr:row>
                    <xdr:rowOff>9525</xdr:rowOff>
                  </from>
                  <to>
                    <xdr:col>5</xdr:col>
                    <xdr:colOff>0</xdr:colOff>
                    <xdr:row>85</xdr:row>
                    <xdr:rowOff>0</xdr:rowOff>
                  </to>
                </anchor>
              </controlPr>
            </control>
          </mc:Choice>
        </mc:AlternateContent>
        <mc:AlternateContent xmlns:mc="http://schemas.openxmlformats.org/markup-compatibility/2006">
          <mc:Choice Requires="x14">
            <control shapeId="16579" r:id="rId198" name="Option Button 195">
              <controlPr defaultSize="0" autoFill="0" autoLine="0" autoPict="0">
                <anchor moveWithCells="1">
                  <from>
                    <xdr:col>3</xdr:col>
                    <xdr:colOff>771525</xdr:colOff>
                    <xdr:row>84</xdr:row>
                    <xdr:rowOff>38100</xdr:rowOff>
                  </from>
                  <to>
                    <xdr:col>3</xdr:col>
                    <xdr:colOff>962025</xdr:colOff>
                    <xdr:row>84</xdr:row>
                    <xdr:rowOff>228600</xdr:rowOff>
                  </to>
                </anchor>
              </controlPr>
            </control>
          </mc:Choice>
        </mc:AlternateContent>
        <mc:AlternateContent xmlns:mc="http://schemas.openxmlformats.org/markup-compatibility/2006">
          <mc:Choice Requires="x14">
            <control shapeId="16580" r:id="rId199" name="Option Button 196">
              <controlPr defaultSize="0" autoFill="0" autoLine="0" autoPict="0">
                <anchor moveWithCells="1">
                  <from>
                    <xdr:col>4</xdr:col>
                    <xdr:colOff>714375</xdr:colOff>
                    <xdr:row>84</xdr:row>
                    <xdr:rowOff>28575</xdr:rowOff>
                  </from>
                  <to>
                    <xdr:col>4</xdr:col>
                    <xdr:colOff>923925</xdr:colOff>
                    <xdr:row>84</xdr:row>
                    <xdr:rowOff>209550</xdr:rowOff>
                  </to>
                </anchor>
              </controlPr>
            </control>
          </mc:Choice>
        </mc:AlternateContent>
        <mc:AlternateContent xmlns:mc="http://schemas.openxmlformats.org/markup-compatibility/2006">
          <mc:Choice Requires="x14">
            <control shapeId="16581" r:id="rId200" name="Group Box 197">
              <controlPr defaultSize="0" autoFill="0" autoPict="0">
                <anchor moveWithCells="1">
                  <from>
                    <xdr:col>2</xdr:col>
                    <xdr:colOff>1752600</xdr:colOff>
                    <xdr:row>85</xdr:row>
                    <xdr:rowOff>9525</xdr:rowOff>
                  </from>
                  <to>
                    <xdr:col>5</xdr:col>
                    <xdr:colOff>0</xdr:colOff>
                    <xdr:row>86</xdr:row>
                    <xdr:rowOff>0</xdr:rowOff>
                  </to>
                </anchor>
              </controlPr>
            </control>
          </mc:Choice>
        </mc:AlternateContent>
        <mc:AlternateContent xmlns:mc="http://schemas.openxmlformats.org/markup-compatibility/2006">
          <mc:Choice Requires="x14">
            <control shapeId="16582" r:id="rId201" name="Option Button 198">
              <controlPr defaultSize="0" autoFill="0" autoLine="0" autoPict="0">
                <anchor moveWithCells="1">
                  <from>
                    <xdr:col>3</xdr:col>
                    <xdr:colOff>771525</xdr:colOff>
                    <xdr:row>85</xdr:row>
                    <xdr:rowOff>38100</xdr:rowOff>
                  </from>
                  <to>
                    <xdr:col>3</xdr:col>
                    <xdr:colOff>962025</xdr:colOff>
                    <xdr:row>85</xdr:row>
                    <xdr:rowOff>228600</xdr:rowOff>
                  </to>
                </anchor>
              </controlPr>
            </control>
          </mc:Choice>
        </mc:AlternateContent>
        <mc:AlternateContent xmlns:mc="http://schemas.openxmlformats.org/markup-compatibility/2006">
          <mc:Choice Requires="x14">
            <control shapeId="16583" r:id="rId202" name="Option Button 199">
              <controlPr defaultSize="0" autoFill="0" autoLine="0" autoPict="0">
                <anchor moveWithCells="1">
                  <from>
                    <xdr:col>4</xdr:col>
                    <xdr:colOff>714375</xdr:colOff>
                    <xdr:row>85</xdr:row>
                    <xdr:rowOff>28575</xdr:rowOff>
                  </from>
                  <to>
                    <xdr:col>4</xdr:col>
                    <xdr:colOff>923925</xdr:colOff>
                    <xdr:row>85</xdr:row>
                    <xdr:rowOff>209550</xdr:rowOff>
                  </to>
                </anchor>
              </controlPr>
            </control>
          </mc:Choice>
        </mc:AlternateContent>
        <mc:AlternateContent xmlns:mc="http://schemas.openxmlformats.org/markup-compatibility/2006">
          <mc:Choice Requires="x14">
            <control shapeId="16584" r:id="rId203" name="Group Box 200">
              <controlPr defaultSize="0" autoFill="0" autoPict="0">
                <anchor moveWithCells="1">
                  <from>
                    <xdr:col>2</xdr:col>
                    <xdr:colOff>1752600</xdr:colOff>
                    <xdr:row>88</xdr:row>
                    <xdr:rowOff>9525</xdr:rowOff>
                  </from>
                  <to>
                    <xdr:col>5</xdr:col>
                    <xdr:colOff>0</xdr:colOff>
                    <xdr:row>89</xdr:row>
                    <xdr:rowOff>0</xdr:rowOff>
                  </to>
                </anchor>
              </controlPr>
            </control>
          </mc:Choice>
        </mc:AlternateContent>
        <mc:AlternateContent xmlns:mc="http://schemas.openxmlformats.org/markup-compatibility/2006">
          <mc:Choice Requires="x14">
            <control shapeId="16585" r:id="rId204" name="Option Button 201">
              <controlPr defaultSize="0" autoFill="0" autoLine="0" autoPict="0">
                <anchor moveWithCells="1">
                  <from>
                    <xdr:col>3</xdr:col>
                    <xdr:colOff>771525</xdr:colOff>
                    <xdr:row>88</xdr:row>
                    <xdr:rowOff>38100</xdr:rowOff>
                  </from>
                  <to>
                    <xdr:col>3</xdr:col>
                    <xdr:colOff>962025</xdr:colOff>
                    <xdr:row>88</xdr:row>
                    <xdr:rowOff>228600</xdr:rowOff>
                  </to>
                </anchor>
              </controlPr>
            </control>
          </mc:Choice>
        </mc:AlternateContent>
        <mc:AlternateContent xmlns:mc="http://schemas.openxmlformats.org/markup-compatibility/2006">
          <mc:Choice Requires="x14">
            <control shapeId="16586" r:id="rId205" name="Option Button 202">
              <controlPr defaultSize="0" autoFill="0" autoLine="0" autoPict="0">
                <anchor moveWithCells="1">
                  <from>
                    <xdr:col>4</xdr:col>
                    <xdr:colOff>714375</xdr:colOff>
                    <xdr:row>88</xdr:row>
                    <xdr:rowOff>28575</xdr:rowOff>
                  </from>
                  <to>
                    <xdr:col>4</xdr:col>
                    <xdr:colOff>923925</xdr:colOff>
                    <xdr:row>88</xdr:row>
                    <xdr:rowOff>209550</xdr:rowOff>
                  </to>
                </anchor>
              </controlPr>
            </control>
          </mc:Choice>
        </mc:AlternateContent>
        <mc:AlternateContent xmlns:mc="http://schemas.openxmlformats.org/markup-compatibility/2006">
          <mc:Choice Requires="x14">
            <control shapeId="16587" r:id="rId206" name="Group Box 203">
              <controlPr defaultSize="0" autoFill="0" autoPict="0">
                <anchor moveWithCells="1">
                  <from>
                    <xdr:col>2</xdr:col>
                    <xdr:colOff>1752600</xdr:colOff>
                    <xdr:row>89</xdr:row>
                    <xdr:rowOff>9525</xdr:rowOff>
                  </from>
                  <to>
                    <xdr:col>5</xdr:col>
                    <xdr:colOff>0</xdr:colOff>
                    <xdr:row>90</xdr:row>
                    <xdr:rowOff>0</xdr:rowOff>
                  </to>
                </anchor>
              </controlPr>
            </control>
          </mc:Choice>
        </mc:AlternateContent>
        <mc:AlternateContent xmlns:mc="http://schemas.openxmlformats.org/markup-compatibility/2006">
          <mc:Choice Requires="x14">
            <control shapeId="16588" r:id="rId207" name="Option Button 204">
              <controlPr defaultSize="0" autoFill="0" autoLine="0" autoPict="0">
                <anchor moveWithCells="1">
                  <from>
                    <xdr:col>3</xdr:col>
                    <xdr:colOff>771525</xdr:colOff>
                    <xdr:row>89</xdr:row>
                    <xdr:rowOff>38100</xdr:rowOff>
                  </from>
                  <to>
                    <xdr:col>3</xdr:col>
                    <xdr:colOff>962025</xdr:colOff>
                    <xdr:row>89</xdr:row>
                    <xdr:rowOff>228600</xdr:rowOff>
                  </to>
                </anchor>
              </controlPr>
            </control>
          </mc:Choice>
        </mc:AlternateContent>
        <mc:AlternateContent xmlns:mc="http://schemas.openxmlformats.org/markup-compatibility/2006">
          <mc:Choice Requires="x14">
            <control shapeId="16589" r:id="rId208" name="Option Button 205">
              <controlPr defaultSize="0" autoFill="0" autoLine="0" autoPict="0">
                <anchor moveWithCells="1">
                  <from>
                    <xdr:col>4</xdr:col>
                    <xdr:colOff>714375</xdr:colOff>
                    <xdr:row>89</xdr:row>
                    <xdr:rowOff>28575</xdr:rowOff>
                  </from>
                  <to>
                    <xdr:col>4</xdr:col>
                    <xdr:colOff>923925</xdr:colOff>
                    <xdr:row>89</xdr:row>
                    <xdr:rowOff>209550</xdr:rowOff>
                  </to>
                </anchor>
              </controlPr>
            </control>
          </mc:Choice>
        </mc:AlternateContent>
        <mc:AlternateContent xmlns:mc="http://schemas.openxmlformats.org/markup-compatibility/2006">
          <mc:Choice Requires="x14">
            <control shapeId="16590" r:id="rId209" name="Group Box 206">
              <controlPr defaultSize="0" autoFill="0" autoPict="0">
                <anchor moveWithCells="1">
                  <from>
                    <xdr:col>2</xdr:col>
                    <xdr:colOff>1752600</xdr:colOff>
                    <xdr:row>90</xdr:row>
                    <xdr:rowOff>9525</xdr:rowOff>
                  </from>
                  <to>
                    <xdr:col>5</xdr:col>
                    <xdr:colOff>0</xdr:colOff>
                    <xdr:row>91</xdr:row>
                    <xdr:rowOff>0</xdr:rowOff>
                  </to>
                </anchor>
              </controlPr>
            </control>
          </mc:Choice>
        </mc:AlternateContent>
        <mc:AlternateContent xmlns:mc="http://schemas.openxmlformats.org/markup-compatibility/2006">
          <mc:Choice Requires="x14">
            <control shapeId="16591" r:id="rId210" name="Option Button 207">
              <controlPr defaultSize="0" autoFill="0" autoLine="0" autoPict="0">
                <anchor moveWithCells="1">
                  <from>
                    <xdr:col>3</xdr:col>
                    <xdr:colOff>771525</xdr:colOff>
                    <xdr:row>90</xdr:row>
                    <xdr:rowOff>38100</xdr:rowOff>
                  </from>
                  <to>
                    <xdr:col>3</xdr:col>
                    <xdr:colOff>962025</xdr:colOff>
                    <xdr:row>90</xdr:row>
                    <xdr:rowOff>228600</xdr:rowOff>
                  </to>
                </anchor>
              </controlPr>
            </control>
          </mc:Choice>
        </mc:AlternateContent>
        <mc:AlternateContent xmlns:mc="http://schemas.openxmlformats.org/markup-compatibility/2006">
          <mc:Choice Requires="x14">
            <control shapeId="16592" r:id="rId211" name="Option Button 208">
              <controlPr defaultSize="0" autoFill="0" autoLine="0" autoPict="0">
                <anchor moveWithCells="1">
                  <from>
                    <xdr:col>4</xdr:col>
                    <xdr:colOff>714375</xdr:colOff>
                    <xdr:row>90</xdr:row>
                    <xdr:rowOff>28575</xdr:rowOff>
                  </from>
                  <to>
                    <xdr:col>4</xdr:col>
                    <xdr:colOff>923925</xdr:colOff>
                    <xdr:row>90</xdr:row>
                    <xdr:rowOff>209550</xdr:rowOff>
                  </to>
                </anchor>
              </controlPr>
            </control>
          </mc:Choice>
        </mc:AlternateContent>
        <mc:AlternateContent xmlns:mc="http://schemas.openxmlformats.org/markup-compatibility/2006">
          <mc:Choice Requires="x14">
            <control shapeId="16593" r:id="rId212" name="Group Box 209">
              <controlPr defaultSize="0" autoFill="0" autoPict="0">
                <anchor moveWithCells="1">
                  <from>
                    <xdr:col>2</xdr:col>
                    <xdr:colOff>1752600</xdr:colOff>
                    <xdr:row>91</xdr:row>
                    <xdr:rowOff>9525</xdr:rowOff>
                  </from>
                  <to>
                    <xdr:col>5</xdr:col>
                    <xdr:colOff>0</xdr:colOff>
                    <xdr:row>92</xdr:row>
                    <xdr:rowOff>0</xdr:rowOff>
                  </to>
                </anchor>
              </controlPr>
            </control>
          </mc:Choice>
        </mc:AlternateContent>
        <mc:AlternateContent xmlns:mc="http://schemas.openxmlformats.org/markup-compatibility/2006">
          <mc:Choice Requires="x14">
            <control shapeId="16594" r:id="rId213" name="Option Button 210">
              <controlPr defaultSize="0" autoFill="0" autoLine="0" autoPict="0">
                <anchor moveWithCells="1">
                  <from>
                    <xdr:col>3</xdr:col>
                    <xdr:colOff>771525</xdr:colOff>
                    <xdr:row>91</xdr:row>
                    <xdr:rowOff>38100</xdr:rowOff>
                  </from>
                  <to>
                    <xdr:col>3</xdr:col>
                    <xdr:colOff>962025</xdr:colOff>
                    <xdr:row>91</xdr:row>
                    <xdr:rowOff>228600</xdr:rowOff>
                  </to>
                </anchor>
              </controlPr>
            </control>
          </mc:Choice>
        </mc:AlternateContent>
        <mc:AlternateContent xmlns:mc="http://schemas.openxmlformats.org/markup-compatibility/2006">
          <mc:Choice Requires="x14">
            <control shapeId="16595" r:id="rId214" name="Option Button 211">
              <controlPr defaultSize="0" autoFill="0" autoLine="0" autoPict="0">
                <anchor moveWithCells="1">
                  <from>
                    <xdr:col>4</xdr:col>
                    <xdr:colOff>714375</xdr:colOff>
                    <xdr:row>91</xdr:row>
                    <xdr:rowOff>28575</xdr:rowOff>
                  </from>
                  <to>
                    <xdr:col>4</xdr:col>
                    <xdr:colOff>923925</xdr:colOff>
                    <xdr:row>91</xdr:row>
                    <xdr:rowOff>209550</xdr:rowOff>
                  </to>
                </anchor>
              </controlPr>
            </control>
          </mc:Choice>
        </mc:AlternateContent>
        <mc:AlternateContent xmlns:mc="http://schemas.openxmlformats.org/markup-compatibility/2006">
          <mc:Choice Requires="x14">
            <control shapeId="16596" r:id="rId215" name="Group Box 212">
              <controlPr defaultSize="0" autoFill="0" autoPict="0">
                <anchor moveWithCells="1">
                  <from>
                    <xdr:col>2</xdr:col>
                    <xdr:colOff>1752600</xdr:colOff>
                    <xdr:row>92</xdr:row>
                    <xdr:rowOff>9525</xdr:rowOff>
                  </from>
                  <to>
                    <xdr:col>5</xdr:col>
                    <xdr:colOff>0</xdr:colOff>
                    <xdr:row>93</xdr:row>
                    <xdr:rowOff>0</xdr:rowOff>
                  </to>
                </anchor>
              </controlPr>
            </control>
          </mc:Choice>
        </mc:AlternateContent>
        <mc:AlternateContent xmlns:mc="http://schemas.openxmlformats.org/markup-compatibility/2006">
          <mc:Choice Requires="x14">
            <control shapeId="16597" r:id="rId216" name="Option Button 213">
              <controlPr defaultSize="0" autoFill="0" autoLine="0" autoPict="0">
                <anchor moveWithCells="1">
                  <from>
                    <xdr:col>3</xdr:col>
                    <xdr:colOff>771525</xdr:colOff>
                    <xdr:row>92</xdr:row>
                    <xdr:rowOff>38100</xdr:rowOff>
                  </from>
                  <to>
                    <xdr:col>3</xdr:col>
                    <xdr:colOff>962025</xdr:colOff>
                    <xdr:row>92</xdr:row>
                    <xdr:rowOff>228600</xdr:rowOff>
                  </to>
                </anchor>
              </controlPr>
            </control>
          </mc:Choice>
        </mc:AlternateContent>
        <mc:AlternateContent xmlns:mc="http://schemas.openxmlformats.org/markup-compatibility/2006">
          <mc:Choice Requires="x14">
            <control shapeId="16598" r:id="rId217" name="Option Button 214">
              <controlPr defaultSize="0" autoFill="0" autoLine="0" autoPict="0">
                <anchor moveWithCells="1">
                  <from>
                    <xdr:col>4</xdr:col>
                    <xdr:colOff>714375</xdr:colOff>
                    <xdr:row>92</xdr:row>
                    <xdr:rowOff>28575</xdr:rowOff>
                  </from>
                  <to>
                    <xdr:col>4</xdr:col>
                    <xdr:colOff>923925</xdr:colOff>
                    <xdr:row>92</xdr:row>
                    <xdr:rowOff>209550</xdr:rowOff>
                  </to>
                </anchor>
              </controlPr>
            </control>
          </mc:Choice>
        </mc:AlternateContent>
        <mc:AlternateContent xmlns:mc="http://schemas.openxmlformats.org/markup-compatibility/2006">
          <mc:Choice Requires="x14">
            <control shapeId="16599" r:id="rId218" name="Group Box 215">
              <controlPr defaultSize="0" autoFill="0" autoPict="0">
                <anchor moveWithCells="1">
                  <from>
                    <xdr:col>2</xdr:col>
                    <xdr:colOff>1752600</xdr:colOff>
                    <xdr:row>95</xdr:row>
                    <xdr:rowOff>9525</xdr:rowOff>
                  </from>
                  <to>
                    <xdr:col>5</xdr:col>
                    <xdr:colOff>0</xdr:colOff>
                    <xdr:row>96</xdr:row>
                    <xdr:rowOff>0</xdr:rowOff>
                  </to>
                </anchor>
              </controlPr>
            </control>
          </mc:Choice>
        </mc:AlternateContent>
        <mc:AlternateContent xmlns:mc="http://schemas.openxmlformats.org/markup-compatibility/2006">
          <mc:Choice Requires="x14">
            <control shapeId="16600" r:id="rId219" name="Option Button 216">
              <controlPr defaultSize="0" autoFill="0" autoLine="0" autoPict="0">
                <anchor moveWithCells="1">
                  <from>
                    <xdr:col>3</xdr:col>
                    <xdr:colOff>771525</xdr:colOff>
                    <xdr:row>95</xdr:row>
                    <xdr:rowOff>38100</xdr:rowOff>
                  </from>
                  <to>
                    <xdr:col>3</xdr:col>
                    <xdr:colOff>962025</xdr:colOff>
                    <xdr:row>95</xdr:row>
                    <xdr:rowOff>228600</xdr:rowOff>
                  </to>
                </anchor>
              </controlPr>
            </control>
          </mc:Choice>
        </mc:AlternateContent>
        <mc:AlternateContent xmlns:mc="http://schemas.openxmlformats.org/markup-compatibility/2006">
          <mc:Choice Requires="x14">
            <control shapeId="16601" r:id="rId220" name="Option Button 217">
              <controlPr defaultSize="0" autoFill="0" autoLine="0" autoPict="0">
                <anchor moveWithCells="1">
                  <from>
                    <xdr:col>4</xdr:col>
                    <xdr:colOff>714375</xdr:colOff>
                    <xdr:row>95</xdr:row>
                    <xdr:rowOff>28575</xdr:rowOff>
                  </from>
                  <to>
                    <xdr:col>4</xdr:col>
                    <xdr:colOff>923925</xdr:colOff>
                    <xdr:row>95</xdr:row>
                    <xdr:rowOff>209550</xdr:rowOff>
                  </to>
                </anchor>
              </controlPr>
            </control>
          </mc:Choice>
        </mc:AlternateContent>
        <mc:AlternateContent xmlns:mc="http://schemas.openxmlformats.org/markup-compatibility/2006">
          <mc:Choice Requires="x14">
            <control shapeId="16602" r:id="rId221" name="Group Box 218">
              <controlPr defaultSize="0" autoFill="0" autoPict="0">
                <anchor moveWithCells="1">
                  <from>
                    <xdr:col>2</xdr:col>
                    <xdr:colOff>1752600</xdr:colOff>
                    <xdr:row>96</xdr:row>
                    <xdr:rowOff>9525</xdr:rowOff>
                  </from>
                  <to>
                    <xdr:col>5</xdr:col>
                    <xdr:colOff>0</xdr:colOff>
                    <xdr:row>97</xdr:row>
                    <xdr:rowOff>0</xdr:rowOff>
                  </to>
                </anchor>
              </controlPr>
            </control>
          </mc:Choice>
        </mc:AlternateContent>
        <mc:AlternateContent xmlns:mc="http://schemas.openxmlformats.org/markup-compatibility/2006">
          <mc:Choice Requires="x14">
            <control shapeId="16603" r:id="rId222" name="Option Button 219">
              <controlPr defaultSize="0" autoFill="0" autoLine="0" autoPict="0">
                <anchor moveWithCells="1">
                  <from>
                    <xdr:col>3</xdr:col>
                    <xdr:colOff>771525</xdr:colOff>
                    <xdr:row>96</xdr:row>
                    <xdr:rowOff>38100</xdr:rowOff>
                  </from>
                  <to>
                    <xdr:col>3</xdr:col>
                    <xdr:colOff>962025</xdr:colOff>
                    <xdr:row>96</xdr:row>
                    <xdr:rowOff>228600</xdr:rowOff>
                  </to>
                </anchor>
              </controlPr>
            </control>
          </mc:Choice>
        </mc:AlternateContent>
        <mc:AlternateContent xmlns:mc="http://schemas.openxmlformats.org/markup-compatibility/2006">
          <mc:Choice Requires="x14">
            <control shapeId="16604" r:id="rId223" name="Option Button 220">
              <controlPr defaultSize="0" autoFill="0" autoLine="0" autoPict="0">
                <anchor moveWithCells="1">
                  <from>
                    <xdr:col>4</xdr:col>
                    <xdr:colOff>714375</xdr:colOff>
                    <xdr:row>96</xdr:row>
                    <xdr:rowOff>28575</xdr:rowOff>
                  </from>
                  <to>
                    <xdr:col>4</xdr:col>
                    <xdr:colOff>923925</xdr:colOff>
                    <xdr:row>96</xdr:row>
                    <xdr:rowOff>209550</xdr:rowOff>
                  </to>
                </anchor>
              </controlPr>
            </control>
          </mc:Choice>
        </mc:AlternateContent>
        <mc:AlternateContent xmlns:mc="http://schemas.openxmlformats.org/markup-compatibility/2006">
          <mc:Choice Requires="x14">
            <control shapeId="16605" r:id="rId224" name="Group Box 221">
              <controlPr defaultSize="0" autoFill="0" autoPict="0">
                <anchor moveWithCells="1">
                  <from>
                    <xdr:col>2</xdr:col>
                    <xdr:colOff>1752600</xdr:colOff>
                    <xdr:row>97</xdr:row>
                    <xdr:rowOff>9525</xdr:rowOff>
                  </from>
                  <to>
                    <xdr:col>5</xdr:col>
                    <xdr:colOff>0</xdr:colOff>
                    <xdr:row>98</xdr:row>
                    <xdr:rowOff>0</xdr:rowOff>
                  </to>
                </anchor>
              </controlPr>
            </control>
          </mc:Choice>
        </mc:AlternateContent>
        <mc:AlternateContent xmlns:mc="http://schemas.openxmlformats.org/markup-compatibility/2006">
          <mc:Choice Requires="x14">
            <control shapeId="16606" r:id="rId225" name="Option Button 222">
              <controlPr defaultSize="0" autoFill="0" autoLine="0" autoPict="0">
                <anchor moveWithCells="1">
                  <from>
                    <xdr:col>3</xdr:col>
                    <xdr:colOff>771525</xdr:colOff>
                    <xdr:row>97</xdr:row>
                    <xdr:rowOff>38100</xdr:rowOff>
                  </from>
                  <to>
                    <xdr:col>3</xdr:col>
                    <xdr:colOff>962025</xdr:colOff>
                    <xdr:row>97</xdr:row>
                    <xdr:rowOff>228600</xdr:rowOff>
                  </to>
                </anchor>
              </controlPr>
            </control>
          </mc:Choice>
        </mc:AlternateContent>
        <mc:AlternateContent xmlns:mc="http://schemas.openxmlformats.org/markup-compatibility/2006">
          <mc:Choice Requires="x14">
            <control shapeId="16607" r:id="rId226" name="Option Button 223">
              <controlPr defaultSize="0" autoFill="0" autoLine="0" autoPict="0">
                <anchor moveWithCells="1">
                  <from>
                    <xdr:col>4</xdr:col>
                    <xdr:colOff>714375</xdr:colOff>
                    <xdr:row>97</xdr:row>
                    <xdr:rowOff>28575</xdr:rowOff>
                  </from>
                  <to>
                    <xdr:col>4</xdr:col>
                    <xdr:colOff>923925</xdr:colOff>
                    <xdr:row>97</xdr:row>
                    <xdr:rowOff>209550</xdr:rowOff>
                  </to>
                </anchor>
              </controlPr>
            </control>
          </mc:Choice>
        </mc:AlternateContent>
        <mc:AlternateContent xmlns:mc="http://schemas.openxmlformats.org/markup-compatibility/2006">
          <mc:Choice Requires="x14">
            <control shapeId="16608" r:id="rId227" name="Group Box 224">
              <controlPr defaultSize="0" autoFill="0" autoPict="0">
                <anchor moveWithCells="1">
                  <from>
                    <xdr:col>2</xdr:col>
                    <xdr:colOff>1752600</xdr:colOff>
                    <xdr:row>98</xdr:row>
                    <xdr:rowOff>9525</xdr:rowOff>
                  </from>
                  <to>
                    <xdr:col>5</xdr:col>
                    <xdr:colOff>0</xdr:colOff>
                    <xdr:row>99</xdr:row>
                    <xdr:rowOff>0</xdr:rowOff>
                  </to>
                </anchor>
              </controlPr>
            </control>
          </mc:Choice>
        </mc:AlternateContent>
        <mc:AlternateContent xmlns:mc="http://schemas.openxmlformats.org/markup-compatibility/2006">
          <mc:Choice Requires="x14">
            <control shapeId="16609" r:id="rId228" name="Option Button 225">
              <controlPr defaultSize="0" autoFill="0" autoLine="0" autoPict="0">
                <anchor moveWithCells="1">
                  <from>
                    <xdr:col>3</xdr:col>
                    <xdr:colOff>771525</xdr:colOff>
                    <xdr:row>98</xdr:row>
                    <xdr:rowOff>38100</xdr:rowOff>
                  </from>
                  <to>
                    <xdr:col>3</xdr:col>
                    <xdr:colOff>962025</xdr:colOff>
                    <xdr:row>98</xdr:row>
                    <xdr:rowOff>228600</xdr:rowOff>
                  </to>
                </anchor>
              </controlPr>
            </control>
          </mc:Choice>
        </mc:AlternateContent>
        <mc:AlternateContent xmlns:mc="http://schemas.openxmlformats.org/markup-compatibility/2006">
          <mc:Choice Requires="x14">
            <control shapeId="16610" r:id="rId229" name="Option Button 226">
              <controlPr defaultSize="0" autoFill="0" autoLine="0" autoPict="0">
                <anchor moveWithCells="1">
                  <from>
                    <xdr:col>4</xdr:col>
                    <xdr:colOff>714375</xdr:colOff>
                    <xdr:row>98</xdr:row>
                    <xdr:rowOff>28575</xdr:rowOff>
                  </from>
                  <to>
                    <xdr:col>4</xdr:col>
                    <xdr:colOff>923925</xdr:colOff>
                    <xdr:row>98</xdr:row>
                    <xdr:rowOff>209550</xdr:rowOff>
                  </to>
                </anchor>
              </controlPr>
            </control>
          </mc:Choice>
        </mc:AlternateContent>
        <mc:AlternateContent xmlns:mc="http://schemas.openxmlformats.org/markup-compatibility/2006">
          <mc:Choice Requires="x14">
            <control shapeId="16611" r:id="rId230" name="Group Box 227">
              <controlPr defaultSize="0" autoFill="0" autoPict="0">
                <anchor moveWithCells="1">
                  <from>
                    <xdr:col>2</xdr:col>
                    <xdr:colOff>1752600</xdr:colOff>
                    <xdr:row>99</xdr:row>
                    <xdr:rowOff>9525</xdr:rowOff>
                  </from>
                  <to>
                    <xdr:col>5</xdr:col>
                    <xdr:colOff>0</xdr:colOff>
                    <xdr:row>100</xdr:row>
                    <xdr:rowOff>0</xdr:rowOff>
                  </to>
                </anchor>
              </controlPr>
            </control>
          </mc:Choice>
        </mc:AlternateContent>
        <mc:AlternateContent xmlns:mc="http://schemas.openxmlformats.org/markup-compatibility/2006">
          <mc:Choice Requires="x14">
            <control shapeId="16612" r:id="rId231" name="Option Button 228">
              <controlPr defaultSize="0" autoFill="0" autoLine="0" autoPict="0">
                <anchor moveWithCells="1">
                  <from>
                    <xdr:col>3</xdr:col>
                    <xdr:colOff>771525</xdr:colOff>
                    <xdr:row>99</xdr:row>
                    <xdr:rowOff>38100</xdr:rowOff>
                  </from>
                  <to>
                    <xdr:col>3</xdr:col>
                    <xdr:colOff>962025</xdr:colOff>
                    <xdr:row>99</xdr:row>
                    <xdr:rowOff>228600</xdr:rowOff>
                  </to>
                </anchor>
              </controlPr>
            </control>
          </mc:Choice>
        </mc:AlternateContent>
        <mc:AlternateContent xmlns:mc="http://schemas.openxmlformats.org/markup-compatibility/2006">
          <mc:Choice Requires="x14">
            <control shapeId="16613" r:id="rId232" name="Option Button 229">
              <controlPr defaultSize="0" autoFill="0" autoLine="0" autoPict="0">
                <anchor moveWithCells="1">
                  <from>
                    <xdr:col>4</xdr:col>
                    <xdr:colOff>714375</xdr:colOff>
                    <xdr:row>99</xdr:row>
                    <xdr:rowOff>28575</xdr:rowOff>
                  </from>
                  <to>
                    <xdr:col>4</xdr:col>
                    <xdr:colOff>923925</xdr:colOff>
                    <xdr:row>99</xdr:row>
                    <xdr:rowOff>209550</xdr:rowOff>
                  </to>
                </anchor>
              </controlPr>
            </control>
          </mc:Choice>
        </mc:AlternateContent>
        <mc:AlternateContent xmlns:mc="http://schemas.openxmlformats.org/markup-compatibility/2006">
          <mc:Choice Requires="x14">
            <control shapeId="16614" r:id="rId233" name="Group Box 230">
              <controlPr defaultSize="0" autoFill="0" autoPict="0">
                <anchor moveWithCells="1">
                  <from>
                    <xdr:col>3</xdr:col>
                    <xdr:colOff>9525</xdr:colOff>
                    <xdr:row>46</xdr:row>
                    <xdr:rowOff>0</xdr:rowOff>
                  </from>
                  <to>
                    <xdr:col>5</xdr:col>
                    <xdr:colOff>0</xdr:colOff>
                    <xdr:row>46</xdr:row>
                    <xdr:rowOff>371475</xdr:rowOff>
                  </to>
                </anchor>
              </controlPr>
            </control>
          </mc:Choice>
        </mc:AlternateContent>
        <mc:AlternateContent xmlns:mc="http://schemas.openxmlformats.org/markup-compatibility/2006">
          <mc:Choice Requires="x14">
            <control shapeId="16615" r:id="rId234" name="Option Button 231">
              <controlPr defaultSize="0" autoFill="0" autoLine="0" autoPict="0">
                <anchor moveWithCells="1">
                  <from>
                    <xdr:col>3</xdr:col>
                    <xdr:colOff>723900</xdr:colOff>
                    <xdr:row>46</xdr:row>
                    <xdr:rowOff>104775</xdr:rowOff>
                  </from>
                  <to>
                    <xdr:col>3</xdr:col>
                    <xdr:colOff>933450</xdr:colOff>
                    <xdr:row>46</xdr:row>
                    <xdr:rowOff>266700</xdr:rowOff>
                  </to>
                </anchor>
              </controlPr>
            </control>
          </mc:Choice>
        </mc:AlternateContent>
        <mc:AlternateContent xmlns:mc="http://schemas.openxmlformats.org/markup-compatibility/2006">
          <mc:Choice Requires="x14">
            <control shapeId="16616" r:id="rId235" name="Option Button 232">
              <controlPr defaultSize="0" autoFill="0" autoLine="0" autoPict="0">
                <anchor moveWithCells="1">
                  <from>
                    <xdr:col>4</xdr:col>
                    <xdr:colOff>695325</xdr:colOff>
                    <xdr:row>46</xdr:row>
                    <xdr:rowOff>85725</xdr:rowOff>
                  </from>
                  <to>
                    <xdr:col>4</xdr:col>
                    <xdr:colOff>895350</xdr:colOff>
                    <xdr:row>46</xdr:row>
                    <xdr:rowOff>276225</xdr:rowOff>
                  </to>
                </anchor>
              </controlPr>
            </control>
          </mc:Choice>
        </mc:AlternateContent>
        <mc:AlternateContent xmlns:mc="http://schemas.openxmlformats.org/markup-compatibility/2006">
          <mc:Choice Requires="x14">
            <control shapeId="16617" r:id="rId236" name="Group Box 233">
              <controlPr defaultSize="0" autoFill="0" autoPict="0">
                <anchor moveWithCells="1">
                  <from>
                    <xdr:col>3</xdr:col>
                    <xdr:colOff>9525</xdr:colOff>
                    <xdr:row>48</xdr:row>
                    <xdr:rowOff>0</xdr:rowOff>
                  </from>
                  <to>
                    <xdr:col>5</xdr:col>
                    <xdr:colOff>0</xdr:colOff>
                    <xdr:row>48</xdr:row>
                    <xdr:rowOff>371475</xdr:rowOff>
                  </to>
                </anchor>
              </controlPr>
            </control>
          </mc:Choice>
        </mc:AlternateContent>
        <mc:AlternateContent xmlns:mc="http://schemas.openxmlformats.org/markup-compatibility/2006">
          <mc:Choice Requires="x14">
            <control shapeId="16618" r:id="rId237" name="Option Button 234">
              <controlPr defaultSize="0" autoFill="0" autoLine="0" autoPict="0">
                <anchor moveWithCells="1">
                  <from>
                    <xdr:col>3</xdr:col>
                    <xdr:colOff>723900</xdr:colOff>
                    <xdr:row>48</xdr:row>
                    <xdr:rowOff>104775</xdr:rowOff>
                  </from>
                  <to>
                    <xdr:col>3</xdr:col>
                    <xdr:colOff>933450</xdr:colOff>
                    <xdr:row>48</xdr:row>
                    <xdr:rowOff>266700</xdr:rowOff>
                  </to>
                </anchor>
              </controlPr>
            </control>
          </mc:Choice>
        </mc:AlternateContent>
        <mc:AlternateContent xmlns:mc="http://schemas.openxmlformats.org/markup-compatibility/2006">
          <mc:Choice Requires="x14">
            <control shapeId="16619" r:id="rId238" name="Option Button 235">
              <controlPr defaultSize="0" autoFill="0" autoLine="0" autoPict="0">
                <anchor moveWithCells="1">
                  <from>
                    <xdr:col>4</xdr:col>
                    <xdr:colOff>695325</xdr:colOff>
                    <xdr:row>48</xdr:row>
                    <xdr:rowOff>85725</xdr:rowOff>
                  </from>
                  <to>
                    <xdr:col>4</xdr:col>
                    <xdr:colOff>895350</xdr:colOff>
                    <xdr:row>48</xdr:row>
                    <xdr:rowOff>276225</xdr:rowOff>
                  </to>
                </anchor>
              </controlPr>
            </control>
          </mc:Choice>
        </mc:AlternateContent>
        <mc:AlternateContent xmlns:mc="http://schemas.openxmlformats.org/markup-compatibility/2006">
          <mc:Choice Requires="x14">
            <control shapeId="16620" r:id="rId239" name="Group Box 236">
              <controlPr defaultSize="0" autoFill="0" autoPict="0">
                <anchor moveWithCells="1">
                  <from>
                    <xdr:col>3</xdr:col>
                    <xdr:colOff>9525</xdr:colOff>
                    <xdr:row>50</xdr:row>
                    <xdr:rowOff>0</xdr:rowOff>
                  </from>
                  <to>
                    <xdr:col>5</xdr:col>
                    <xdr:colOff>0</xdr:colOff>
                    <xdr:row>50</xdr:row>
                    <xdr:rowOff>371475</xdr:rowOff>
                  </to>
                </anchor>
              </controlPr>
            </control>
          </mc:Choice>
        </mc:AlternateContent>
        <mc:AlternateContent xmlns:mc="http://schemas.openxmlformats.org/markup-compatibility/2006">
          <mc:Choice Requires="x14">
            <control shapeId="16621" r:id="rId240" name="Option Button 237">
              <controlPr defaultSize="0" autoFill="0" autoLine="0" autoPict="0">
                <anchor moveWithCells="1">
                  <from>
                    <xdr:col>3</xdr:col>
                    <xdr:colOff>723900</xdr:colOff>
                    <xdr:row>50</xdr:row>
                    <xdr:rowOff>104775</xdr:rowOff>
                  </from>
                  <to>
                    <xdr:col>3</xdr:col>
                    <xdr:colOff>933450</xdr:colOff>
                    <xdr:row>50</xdr:row>
                    <xdr:rowOff>266700</xdr:rowOff>
                  </to>
                </anchor>
              </controlPr>
            </control>
          </mc:Choice>
        </mc:AlternateContent>
        <mc:AlternateContent xmlns:mc="http://schemas.openxmlformats.org/markup-compatibility/2006">
          <mc:Choice Requires="x14">
            <control shapeId="16622" r:id="rId241" name="Option Button 238">
              <controlPr defaultSize="0" autoFill="0" autoLine="0" autoPict="0">
                <anchor moveWithCells="1">
                  <from>
                    <xdr:col>4</xdr:col>
                    <xdr:colOff>695325</xdr:colOff>
                    <xdr:row>50</xdr:row>
                    <xdr:rowOff>85725</xdr:rowOff>
                  </from>
                  <to>
                    <xdr:col>4</xdr:col>
                    <xdr:colOff>895350</xdr:colOff>
                    <xdr:row>50</xdr:row>
                    <xdr:rowOff>276225</xdr:rowOff>
                  </to>
                </anchor>
              </controlPr>
            </control>
          </mc:Choice>
        </mc:AlternateContent>
        <mc:AlternateContent xmlns:mc="http://schemas.openxmlformats.org/markup-compatibility/2006">
          <mc:Choice Requires="x14">
            <control shapeId="16623" r:id="rId242" name="Group Box 239">
              <controlPr defaultSize="0" autoFill="0" autoPict="0">
                <anchor moveWithCells="1">
                  <from>
                    <xdr:col>3</xdr:col>
                    <xdr:colOff>9525</xdr:colOff>
                    <xdr:row>105</xdr:row>
                    <xdr:rowOff>9525</xdr:rowOff>
                  </from>
                  <to>
                    <xdr:col>5</xdr:col>
                    <xdr:colOff>0</xdr:colOff>
                    <xdr:row>105</xdr:row>
                    <xdr:rowOff>304800</xdr:rowOff>
                  </to>
                </anchor>
              </controlPr>
            </control>
          </mc:Choice>
        </mc:AlternateContent>
        <mc:AlternateContent xmlns:mc="http://schemas.openxmlformats.org/markup-compatibility/2006">
          <mc:Choice Requires="x14">
            <control shapeId="16624" r:id="rId243" name="Option Button 240">
              <controlPr defaultSize="0" autoFill="0" autoLine="0" autoPict="0">
                <anchor moveWithCells="1">
                  <from>
                    <xdr:col>3</xdr:col>
                    <xdr:colOff>723900</xdr:colOff>
                    <xdr:row>105</xdr:row>
                    <xdr:rowOff>38100</xdr:rowOff>
                  </from>
                  <to>
                    <xdr:col>3</xdr:col>
                    <xdr:colOff>904875</xdr:colOff>
                    <xdr:row>105</xdr:row>
                    <xdr:rowOff>247650</xdr:rowOff>
                  </to>
                </anchor>
              </controlPr>
            </control>
          </mc:Choice>
        </mc:AlternateContent>
        <mc:AlternateContent xmlns:mc="http://schemas.openxmlformats.org/markup-compatibility/2006">
          <mc:Choice Requires="x14">
            <control shapeId="16625" r:id="rId244" name="Drop Down 241">
              <controlPr defaultSize="0" autoLine="0" autoPict="0">
                <anchor moveWithCells="1">
                  <from>
                    <xdr:col>4</xdr:col>
                    <xdr:colOff>38100</xdr:colOff>
                    <xdr:row>105</xdr:row>
                    <xdr:rowOff>47625</xdr:rowOff>
                  </from>
                  <to>
                    <xdr:col>4</xdr:col>
                    <xdr:colOff>704850</xdr:colOff>
                    <xdr:row>105</xdr:row>
                    <xdr:rowOff>247650</xdr:rowOff>
                  </to>
                </anchor>
              </controlPr>
            </control>
          </mc:Choice>
        </mc:AlternateContent>
        <mc:AlternateContent xmlns:mc="http://schemas.openxmlformats.org/markup-compatibility/2006">
          <mc:Choice Requires="x14">
            <control shapeId="16626" r:id="rId245" name="Option Button 242">
              <controlPr defaultSize="0" autoFill="0" autoLine="0" autoPict="0">
                <anchor moveWithCells="1">
                  <from>
                    <xdr:col>4</xdr:col>
                    <xdr:colOff>723900</xdr:colOff>
                    <xdr:row>105</xdr:row>
                    <xdr:rowOff>47625</xdr:rowOff>
                  </from>
                  <to>
                    <xdr:col>4</xdr:col>
                    <xdr:colOff>942975</xdr:colOff>
                    <xdr:row>105</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44E5BD2D-C2E7-41A7-98BA-487337CE3E7F}">
            <xm:f>AND(OR($E$152&lt;0.95,$E$152&gt;1.05),FWY_Ref!$E$69=2)</xm:f>
            <x14:dxf>
              <fill>
                <patternFill>
                  <bgColor rgb="FFFF0000"/>
                </patternFill>
              </fill>
            </x14:dxf>
          </x14:cfRule>
          <xm:sqref>E152</xm:sqref>
        </x14:conditionalFormatting>
        <x14:conditionalFormatting xmlns:xm="http://schemas.microsoft.com/office/excel/2006/main">
          <x14:cfRule type="expression" priority="2" id="{455161EB-4C01-40A5-A8CF-74B112DFF055}">
            <xm:f>AND(OR($E$160&lt;0.95,$E$160&gt;1.05),FWY_Ref!$E$73=2)</xm:f>
            <x14:dxf>
              <fill>
                <patternFill>
                  <bgColor rgb="FFFF0000"/>
                </patternFill>
              </fill>
            </x14:dxf>
          </x14:cfRule>
          <xm:sqref>E161</xm:sqref>
        </x14:conditionalFormatting>
        <x14:conditionalFormatting xmlns:xm="http://schemas.microsoft.com/office/excel/2006/main">
          <x14:cfRule type="expression" priority="1" id="{D0AB163D-1374-42C6-9013-DB690CA244A2}">
            <xm:f>AND(OR($E$160&lt;0.95,$E$160&gt;1.05),FWY_Ref!$E$73=2)</xm:f>
            <x14:dxf>
              <fill>
                <patternFill>
                  <bgColor rgb="FFFF0000"/>
                </patternFill>
              </fill>
            </x14:dxf>
          </x14:cfRule>
          <xm:sqref>E169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3:CU151"/>
  <sheetViews>
    <sheetView showGridLines="0" topLeftCell="A19" workbookViewId="0"/>
  </sheetViews>
  <sheetFormatPr defaultRowHeight="15" x14ac:dyDescent="0.25"/>
  <cols>
    <col min="2" max="2" width="23" customWidth="1"/>
    <col min="3" max="3" width="30.85546875" customWidth="1"/>
    <col min="5" max="5" width="13.42578125" customWidth="1"/>
    <col min="8" max="8" width="17" customWidth="1"/>
    <col min="10" max="10" width="22.7109375" customWidth="1"/>
    <col min="11" max="11" width="32.85546875" customWidth="1"/>
    <col min="12" max="12" width="19.7109375" customWidth="1"/>
    <col min="14" max="14" width="23.5703125" customWidth="1"/>
    <col min="15" max="15" width="11.28515625" customWidth="1"/>
    <col min="17" max="17" width="23.42578125" customWidth="1"/>
    <col min="18" max="18" width="11.7109375" customWidth="1"/>
    <col min="20" max="20" width="20.42578125" customWidth="1"/>
    <col min="21" max="21" width="10" customWidth="1"/>
    <col min="23" max="23" width="20.28515625" customWidth="1"/>
    <col min="24" max="24" width="11.140625" customWidth="1"/>
    <col min="26" max="26" width="20.28515625" customWidth="1"/>
    <col min="27" max="27" width="9.85546875" customWidth="1"/>
    <col min="29" max="29" width="20.140625" customWidth="1"/>
    <col min="30" max="30" width="10.42578125" customWidth="1"/>
    <col min="32" max="32" width="20.140625" customWidth="1"/>
    <col min="33" max="33" width="11.7109375" customWidth="1"/>
    <col min="35" max="35" width="20.28515625" customWidth="1"/>
    <col min="36" max="36" width="10.7109375" customWidth="1"/>
    <col min="38" max="38" width="20.28515625" customWidth="1"/>
    <col min="39" max="39" width="12.5703125" customWidth="1"/>
    <col min="41" max="41" width="19.85546875" customWidth="1"/>
    <col min="42" max="42" width="11" customWidth="1"/>
    <col min="44" max="44" width="20" customWidth="1"/>
    <col min="45" max="45" width="10.85546875" customWidth="1"/>
    <col min="47" max="47" width="20.42578125" customWidth="1"/>
    <col min="48" max="48" width="10.28515625" customWidth="1"/>
    <col min="50" max="50" width="20" customWidth="1"/>
    <col min="51" max="51" width="11.140625" customWidth="1"/>
    <col min="53" max="53" width="20.140625" customWidth="1"/>
    <col min="54" max="54" width="10.85546875" customWidth="1"/>
    <col min="56" max="56" width="19.85546875" customWidth="1"/>
    <col min="57" max="57" width="11.28515625" customWidth="1"/>
    <col min="59" max="59" width="20" customWidth="1"/>
    <col min="60" max="60" width="11.7109375" customWidth="1"/>
    <col min="62" max="62" width="19.85546875" customWidth="1"/>
    <col min="63" max="63" width="11" customWidth="1"/>
    <col min="65" max="65" width="20.140625" customWidth="1"/>
    <col min="66" max="66" width="11.5703125" customWidth="1"/>
    <col min="68" max="68" width="20.140625" customWidth="1"/>
    <col min="69" max="69" width="11" customWidth="1"/>
    <col min="71" max="71" width="20.140625" customWidth="1"/>
    <col min="72" max="72" width="11.7109375" customWidth="1"/>
  </cols>
  <sheetData>
    <row r="3" spans="2:19" x14ac:dyDescent="0.25">
      <c r="J3" s="565" t="s">
        <v>104</v>
      </c>
      <c r="K3" s="565"/>
      <c r="L3" s="388" t="s">
        <v>105</v>
      </c>
      <c r="N3" s="565" t="s">
        <v>113</v>
      </c>
      <c r="O3" s="565"/>
      <c r="P3" s="565"/>
      <c r="Q3" s="565"/>
      <c r="R3" s="565"/>
    </row>
    <row r="4" spans="2:19" x14ac:dyDescent="0.25">
      <c r="J4" s="616" t="s">
        <v>103</v>
      </c>
      <c r="K4" s="14" t="s">
        <v>638</v>
      </c>
      <c r="L4" s="72">
        <f>FWY_Calculations!L8*EXP(FWY_Ref!B188+1.492*LN(0.001*FWY_Calculations!L9))</f>
        <v>1.872773400832104</v>
      </c>
      <c r="N4" s="691" t="s">
        <v>129</v>
      </c>
      <c r="O4" s="691"/>
      <c r="Q4" s="691" t="s">
        <v>130</v>
      </c>
      <c r="R4" s="691"/>
    </row>
    <row r="5" spans="2:19" x14ac:dyDescent="0.25">
      <c r="J5" s="696"/>
      <c r="K5" s="14" t="s">
        <v>637</v>
      </c>
      <c r="L5" s="72">
        <f>L8*EXP(FWY_Ref!B199+1.936*LN(0.001*FWY_Calculations!L9))</f>
        <v>3.8972957369213601</v>
      </c>
      <c r="N5" s="13" t="s">
        <v>114</v>
      </c>
      <c r="O5" s="372">
        <f>FWY_Ref!E88</f>
        <v>12</v>
      </c>
      <c r="Q5" s="13" t="s">
        <v>114</v>
      </c>
      <c r="R5" s="372">
        <f>FWY_Ref!N7</f>
        <v>12</v>
      </c>
    </row>
    <row r="6" spans="2:19" x14ac:dyDescent="0.25">
      <c r="B6" s="565" t="s">
        <v>102</v>
      </c>
      <c r="C6" s="565"/>
      <c r="D6" s="388" t="s">
        <v>95</v>
      </c>
      <c r="E6" s="388" t="s">
        <v>96</v>
      </c>
      <c r="F6" s="388" t="s">
        <v>97</v>
      </c>
      <c r="G6" s="388" t="s">
        <v>273</v>
      </c>
      <c r="H6" s="388" t="s">
        <v>98</v>
      </c>
      <c r="J6" s="696"/>
      <c r="K6" s="497" t="s">
        <v>636</v>
      </c>
      <c r="L6" s="496">
        <f>L8*EXP(FWY_Ref!B207+0.646*LN(0.001*FWY_Calculations!L9))</f>
        <v>3.8791979409859962</v>
      </c>
      <c r="N6" s="18" t="s">
        <v>564</v>
      </c>
      <c r="O6" s="81">
        <f>IF(O5&lt;13,EXP(-0.0376*(O5-12)),0.963)</f>
        <v>1</v>
      </c>
      <c r="Q6" s="18" t="s">
        <v>564</v>
      </c>
      <c r="R6" s="81">
        <f>IF(R5&lt;13,EXP(-0.0376*(R5-12)),0.963)</f>
        <v>1</v>
      </c>
    </row>
    <row r="7" spans="2:19" x14ac:dyDescent="0.25">
      <c r="B7" s="694" t="s">
        <v>81</v>
      </c>
      <c r="C7" s="14" t="s">
        <v>82</v>
      </c>
      <c r="D7" s="70">
        <f>FWY_Ref!E88*FWY_Ref!D182</f>
        <v>48</v>
      </c>
      <c r="E7" s="101">
        <f>D7*FWY_Project!C5*5280/9</f>
        <v>84480</v>
      </c>
      <c r="F7" s="395" t="s">
        <v>235</v>
      </c>
      <c r="G7" s="229">
        <f>FWY_Setup!F23</f>
        <v>2</v>
      </c>
      <c r="H7" s="229">
        <f t="shared" ref="H7:H35" si="0">E7*G7</f>
        <v>168960</v>
      </c>
      <c r="J7" s="696"/>
      <c r="K7" s="14" t="s">
        <v>635</v>
      </c>
      <c r="L7" s="72">
        <f>L8*EXP(FWY_Ref!B215+0.876*LN(0.001*FWY_Calculations!L9))</f>
        <v>8.1260153817718255</v>
      </c>
      <c r="N7" s="18" t="s">
        <v>533</v>
      </c>
      <c r="O7" s="81">
        <f>IF(O5&lt;13,EXP(-0.0376*(O5-12)),0.963)</f>
        <v>1</v>
      </c>
      <c r="Q7" s="18" t="s">
        <v>533</v>
      </c>
      <c r="R7" s="81">
        <f>IF(R5&lt;13,EXP(-0.0376*(R5-12)),0.963)</f>
        <v>1</v>
      </c>
    </row>
    <row r="8" spans="2:19" x14ac:dyDescent="0.25">
      <c r="B8" s="694"/>
      <c r="C8" s="14" t="s">
        <v>83</v>
      </c>
      <c r="D8" s="70">
        <f>FWY_Ref!E88*FWY_Ref!D182</f>
        <v>48</v>
      </c>
      <c r="E8" s="101">
        <f>IF(FWY_Ref!C14=2,FWY_Setup!F12*FWY_Calculations!D8*FWY_Project!C5*115*5280*(1/9)*(1/2000),FWY_Calculations!D8*FWY_Project!C5*5280/9)</f>
        <v>9715.2000000000007</v>
      </c>
      <c r="F8" s="395" t="str">
        <f>IF(FWY_Ref!$C$14=1,"sq yd","cu yd")</f>
        <v>cu yd</v>
      </c>
      <c r="G8" s="229">
        <f>IF(FWY_Ref!$C$14=1,FWY_Setup!$F$27,FWY_Setup!$F$25)</f>
        <v>55</v>
      </c>
      <c r="H8" s="229">
        <f t="shared" si="0"/>
        <v>534336</v>
      </c>
      <c r="J8" s="696"/>
      <c r="K8" s="14" t="s">
        <v>634</v>
      </c>
      <c r="L8" s="73">
        <f>FWY_Ref!C20</f>
        <v>3</v>
      </c>
      <c r="N8" s="131"/>
    </row>
    <row r="9" spans="2:19" x14ac:dyDescent="0.25">
      <c r="B9" s="694"/>
      <c r="C9" s="14" t="s">
        <v>633</v>
      </c>
      <c r="D9" s="70">
        <f>IF(FWY_Ref!J80=2,FWY_Ref!N7*FWY_Ref!D182-FWY_Ref!E88*FWY_Ref!D182,0)</f>
        <v>0</v>
      </c>
      <c r="E9" s="101">
        <f>IF(FWY_Ref!$C$14=2,FWY_Setup!$F$15*FWY_Calculations!D9*FWY_Project!$C$5*115*5280*(1/9)*(1/2000),FWY_Calculations!D9*FWY_Project!$C$5*5280/9)</f>
        <v>0</v>
      </c>
      <c r="F9" s="395" t="str">
        <f>IF(FWY_Ref!$C$14=1,"sq yd","cu yd")</f>
        <v>cu yd</v>
      </c>
      <c r="G9" s="229">
        <f>IF(FWY_Ref!$C$14=1,FWY_Setup!$F$27,FWY_Setup!$F$25)</f>
        <v>55</v>
      </c>
      <c r="H9" s="229">
        <f t="shared" si="0"/>
        <v>0</v>
      </c>
      <c r="J9" s="697"/>
      <c r="K9" s="14" t="s">
        <v>60</v>
      </c>
      <c r="L9" s="74">
        <f>FWY_Project!C6</f>
        <v>40000</v>
      </c>
      <c r="N9" s="847" t="s">
        <v>632</v>
      </c>
      <c r="O9" s="848"/>
      <c r="P9" s="848"/>
      <c r="Q9" s="848"/>
      <c r="R9" s="849"/>
    </row>
    <row r="10" spans="2:19" x14ac:dyDescent="0.25">
      <c r="B10" s="694"/>
      <c r="C10" s="14" t="s">
        <v>631</v>
      </c>
      <c r="D10" s="70">
        <f>IF(FWY_Ref!J80=1,FWY_Ref!N7*FWY_Ref!D182-FWY_Ref!E88*FWY_Ref!D182,0)</f>
        <v>0</v>
      </c>
      <c r="E10" s="101">
        <f>IF(FWY_Ref!$C$14=2,FWY_Setup!$F$15*FWY_Calculations!D10*FWY_Project!$C$5*115*5280*(1/9)*(1/2000),FWY_Calculations!D10*FWY_Project!$C$5*5280/9)</f>
        <v>0</v>
      </c>
      <c r="F10" s="395" t="str">
        <f>IF(FWY_Ref!$C$14=1,"sq yd","cu yd")</f>
        <v>cu yd</v>
      </c>
      <c r="G10" s="229">
        <f>IF(FWY_Ref!$C$14=1,FWY_Setup!$F$27,FWY_Setup!$F$25)</f>
        <v>55</v>
      </c>
      <c r="H10" s="229">
        <f t="shared" si="0"/>
        <v>0</v>
      </c>
      <c r="J10" s="694" t="s">
        <v>274</v>
      </c>
      <c r="K10" s="14" t="s">
        <v>601</v>
      </c>
      <c r="L10" s="110">
        <f>O6</f>
        <v>1</v>
      </c>
      <c r="N10" s="850" t="s">
        <v>129</v>
      </c>
      <c r="O10" s="851"/>
      <c r="Q10" s="850" t="s">
        <v>130</v>
      </c>
      <c r="R10" s="851"/>
    </row>
    <row r="11" spans="2:19" x14ac:dyDescent="0.25">
      <c r="B11" s="694"/>
      <c r="C11" s="14" t="s">
        <v>85</v>
      </c>
      <c r="D11" s="70">
        <f>D9+D10</f>
        <v>0</v>
      </c>
      <c r="E11" s="101">
        <f>FWY_Setup!F9*FWY_Calculations!D11*FWY_Project!C5*5280*(1/12)*(1/27)</f>
        <v>0</v>
      </c>
      <c r="F11" s="395" t="s">
        <v>236</v>
      </c>
      <c r="G11" s="229">
        <f>FWY_Setup!F21</f>
        <v>10</v>
      </c>
      <c r="H11" s="229">
        <f t="shared" si="0"/>
        <v>0</v>
      </c>
      <c r="J11" s="694"/>
      <c r="K11" s="14" t="s">
        <v>600</v>
      </c>
      <c r="L11" s="110">
        <f>O7</f>
        <v>1</v>
      </c>
      <c r="N11" s="282" t="s">
        <v>630</v>
      </c>
      <c r="O11" s="495">
        <f>FWY_Ref!E112</f>
        <v>2</v>
      </c>
      <c r="P11" s="477"/>
      <c r="Q11" s="282" t="s">
        <v>630</v>
      </c>
      <c r="R11" s="495">
        <f>FWY_Ref!N9</f>
        <v>2</v>
      </c>
      <c r="S11" s="376"/>
    </row>
    <row r="12" spans="2:19" x14ac:dyDescent="0.25">
      <c r="B12" s="694"/>
      <c r="C12" s="14" t="s">
        <v>629</v>
      </c>
      <c r="D12" s="70">
        <f>IF(D9&gt;0,0,FWY_Ref!E100*2)</f>
        <v>12</v>
      </c>
      <c r="E12" s="101">
        <f>FWY_Calculations!D12*FWY_Project!$C$5*5280/9</f>
        <v>21120</v>
      </c>
      <c r="F12" s="395" t="s">
        <v>235</v>
      </c>
      <c r="G12" s="229">
        <f>FWY_Setup!$F$23</f>
        <v>2</v>
      </c>
      <c r="H12" s="229">
        <f t="shared" si="0"/>
        <v>42240</v>
      </c>
      <c r="J12" s="694"/>
      <c r="K12" s="14" t="s">
        <v>599</v>
      </c>
      <c r="L12" s="110">
        <f>O12</f>
        <v>1.0712219433338122</v>
      </c>
      <c r="M12" s="2"/>
      <c r="N12" s="18" t="s">
        <v>564</v>
      </c>
      <c r="O12" s="494">
        <f>EXP(-0.0172*(O$11-6))</f>
        <v>1.0712219433338122</v>
      </c>
      <c r="P12" s="2"/>
      <c r="Q12" s="18" t="s">
        <v>564</v>
      </c>
      <c r="R12" s="494">
        <f>EXP(-0.0172*(R$11-6))</f>
        <v>1.0712219433338122</v>
      </c>
    </row>
    <row r="13" spans="2:19" x14ac:dyDescent="0.25">
      <c r="B13" s="694"/>
      <c r="C13" s="14" t="s">
        <v>628</v>
      </c>
      <c r="D13" s="70">
        <f>IF(D12=0,0,IF(D9&gt;0,0,FWY_Ref!E100*2))</f>
        <v>12</v>
      </c>
      <c r="E13" s="101">
        <f>IF(FWY_Ref!$C$14=2,FWY_Setup!$F$13*FWY_Calculations!D13*FWY_Project!$C$5*115*5280*(1/9)*(1/2000),FWY_Setup!$F$13*FWY_Calculations!D13*5280*(1/9))</f>
        <v>2428.8000000000002</v>
      </c>
      <c r="F13" s="395" t="str">
        <f>IF(FWY_Ref!$C$14=1,"sq yd","cu yd")</f>
        <v>cu yd</v>
      </c>
      <c r="G13" s="229">
        <f>IF(FWY_Ref!$C$14=1,FWY_Setup!$F$27,FWY_Setup!$F$25)</f>
        <v>55</v>
      </c>
      <c r="H13" s="229">
        <f t="shared" si="0"/>
        <v>133584</v>
      </c>
      <c r="J13" s="694"/>
      <c r="K13" s="14" t="s">
        <v>598</v>
      </c>
      <c r="L13" s="110">
        <f>O13</f>
        <v>1.0631115152294282</v>
      </c>
      <c r="N13" s="18" t="s">
        <v>553</v>
      </c>
      <c r="O13" s="81">
        <f>EXP(-0.0153*(O$11-6))</f>
        <v>1.0631115152294282</v>
      </c>
      <c r="Q13" s="18" t="s">
        <v>553</v>
      </c>
      <c r="R13" s="81">
        <f>EXP(-0.0153*(R$11-6))</f>
        <v>1.0631115152294282</v>
      </c>
    </row>
    <row r="14" spans="2:19" x14ac:dyDescent="0.25">
      <c r="B14" s="694"/>
      <c r="C14" s="14" t="s">
        <v>627</v>
      </c>
      <c r="D14" s="70">
        <f>IF(D9&gt;0,FWY_Ref!N8*2,(FWY_Ref!N8-FWY_Ref!E100)*2)</f>
        <v>0</v>
      </c>
      <c r="E14" s="101">
        <f>IF(FWY_Ref!$C$14=2,FWY_Setup!$F$16*FWY_Calculations!D14*FWY_Project!$C$5*115*5280*(1/2000)*(1/9),FWY_Calculations!D14*FWY_Project!$C$5*5280/9)</f>
        <v>0</v>
      </c>
      <c r="F14" s="395" t="str">
        <f>IF(FWY_Ref!$C$14=1,"sq yd","cu yd")</f>
        <v>cu yd</v>
      </c>
      <c r="G14" s="229">
        <f>IF(FWY_Ref!$C$14=1,FWY_Setup!$F$27,FWY_Setup!$F$25)</f>
        <v>55</v>
      </c>
      <c r="H14" s="229">
        <f t="shared" si="0"/>
        <v>0</v>
      </c>
      <c r="J14" s="694"/>
      <c r="K14" s="14" t="s">
        <v>596</v>
      </c>
      <c r="L14" s="110">
        <f>O14</f>
        <v>1.0712219433338122</v>
      </c>
      <c r="N14" s="18" t="s">
        <v>533</v>
      </c>
      <c r="O14" s="494">
        <f>EXP(-0.0172*(O$11-6))</f>
        <v>1.0712219433338122</v>
      </c>
      <c r="Q14" s="18" t="s">
        <v>533</v>
      </c>
      <c r="R14" s="494">
        <f>EXP(-0.0172*(R$11-6))</f>
        <v>1.0712219433338122</v>
      </c>
    </row>
    <row r="15" spans="2:19" x14ac:dyDescent="0.25">
      <c r="B15" s="694"/>
      <c r="C15" s="14" t="s">
        <v>626</v>
      </c>
      <c r="D15" s="70">
        <f>D14</f>
        <v>0</v>
      </c>
      <c r="E15" s="101">
        <f>FWY_Setup!$F$10*FWY_Calculations!D15*FWY_Project!$C$5*5280*(1/12)*(1/27)</f>
        <v>0</v>
      </c>
      <c r="F15" s="395" t="s">
        <v>236</v>
      </c>
      <c r="G15" s="229">
        <f>FWY_Setup!$F$21</f>
        <v>10</v>
      </c>
      <c r="H15" s="229">
        <f t="shared" si="0"/>
        <v>0</v>
      </c>
      <c r="J15" s="694"/>
      <c r="K15" s="14" t="s">
        <v>595</v>
      </c>
      <c r="L15" s="110">
        <f>O15</f>
        <v>1.0631115152294282</v>
      </c>
      <c r="N15" s="18" t="s">
        <v>543</v>
      </c>
      <c r="O15" s="81">
        <f>EXP(-0.0153*(O$11-6))</f>
        <v>1.0631115152294282</v>
      </c>
      <c r="Q15" s="18" t="s">
        <v>543</v>
      </c>
      <c r="R15" s="81">
        <f>EXP(-0.0153*(R$11-6))</f>
        <v>1.0631115152294282</v>
      </c>
    </row>
    <row r="16" spans="2:19" x14ac:dyDescent="0.25">
      <c r="B16" s="694"/>
      <c r="C16" s="14" t="s">
        <v>625</v>
      </c>
      <c r="D16" s="70">
        <f>IF(D10&gt;0,0,2*FWY_Ref!E112)</f>
        <v>4</v>
      </c>
      <c r="E16" s="101">
        <f>FWY_Calculations!D16*FWY_Project!$C$5*5280/9</f>
        <v>7040</v>
      </c>
      <c r="F16" s="395" t="s">
        <v>235</v>
      </c>
      <c r="G16" s="229">
        <f>FWY_Setup!$F$23</f>
        <v>2</v>
      </c>
      <c r="H16" s="229">
        <f t="shared" si="0"/>
        <v>14080</v>
      </c>
      <c r="J16" s="694"/>
      <c r="K16" s="14" t="s">
        <v>593</v>
      </c>
      <c r="L16" s="110">
        <f>O21</f>
        <v>1.3158100660084324</v>
      </c>
    </row>
    <row r="17" spans="1:99" x14ac:dyDescent="0.25">
      <c r="B17" s="694"/>
      <c r="C17" s="14" t="s">
        <v>624</v>
      </c>
      <c r="D17" s="70">
        <f>IF(D16=0,0,IF(D10&gt;0,0,2*FWY_Ref!E112))</f>
        <v>4</v>
      </c>
      <c r="E17" s="101">
        <f>IF(FWY_Ref!$C$14=2,FWY_Setup!$F$13*FWY_Calculations!D17*FWY_Project!$C$5*115*5280*(1/9)*(1/2000),FWY_Calculations!D17*FWY_Project!$C$5*5280*(1/9))</f>
        <v>809.6</v>
      </c>
      <c r="F17" s="395" t="str">
        <f>IF(FWY_Ref!$C$14=1,"sq yd","cu yd")</f>
        <v>cu yd</v>
      </c>
      <c r="G17" s="229">
        <f>IF(FWY_Ref!$C$14=1,FWY_Setup!$F$27,FWY_Setup!$F$25)</f>
        <v>55</v>
      </c>
      <c r="H17" s="229">
        <f t="shared" si="0"/>
        <v>44528</v>
      </c>
      <c r="J17" s="694"/>
      <c r="K17" s="14" t="s">
        <v>591</v>
      </c>
      <c r="L17" s="387">
        <f>O22</f>
        <v>1.0599008537216394</v>
      </c>
      <c r="N17" s="847" t="s">
        <v>623</v>
      </c>
      <c r="O17" s="848"/>
      <c r="P17" s="848"/>
      <c r="Q17" s="848"/>
      <c r="R17" s="849"/>
    </row>
    <row r="18" spans="1:99" x14ac:dyDescent="0.25">
      <c r="B18" s="694"/>
      <c r="C18" s="14" t="s">
        <v>622</v>
      </c>
      <c r="D18" s="70">
        <f>IF(D10&gt;0,(2*FWY_Ref!N9),2*(FWY_Ref!N9-FWY_Ref!E112))</f>
        <v>0</v>
      </c>
      <c r="E18" s="101">
        <f>IF(FWY_Ref!$C$14=2,FWY_Setup!$F$16*FWY_Calculations!D18*FWY_Project!$C$5*115*5280*(1/2000)*(1/9),FWY_Calculations!D18*FWY_Project!$C$5*5280/9)</f>
        <v>0</v>
      </c>
      <c r="F18" s="395" t="str">
        <f>IF(FWY_Ref!$C$14=1,"sq yd","cu yd")</f>
        <v>cu yd</v>
      </c>
      <c r="G18" s="229">
        <f>IF(FWY_Ref!$C$14=1,FWY_Setup!$F$27,FWY_Setup!$F$25)</f>
        <v>55</v>
      </c>
      <c r="H18" s="229">
        <f t="shared" si="0"/>
        <v>0</v>
      </c>
      <c r="J18" s="694"/>
      <c r="K18" s="14" t="s">
        <v>590</v>
      </c>
      <c r="L18" s="110">
        <f>O45</f>
        <v>1</v>
      </c>
      <c r="N18" s="691" t="s">
        <v>129</v>
      </c>
      <c r="O18" s="691"/>
      <c r="Q18" s="691" t="s">
        <v>130</v>
      </c>
      <c r="R18" s="691"/>
    </row>
    <row r="19" spans="1:99" x14ac:dyDescent="0.25">
      <c r="B19" s="694"/>
      <c r="C19" s="14" t="s">
        <v>621</v>
      </c>
      <c r="D19" s="70">
        <f>D18</f>
        <v>0</v>
      </c>
      <c r="E19" s="101">
        <f>FWY_Setup!$F$10*FWY_Calculations!D19*FWY_Project!$C$5*5280*(1/12)*(1/27)</f>
        <v>0</v>
      </c>
      <c r="F19" s="395" t="s">
        <v>236</v>
      </c>
      <c r="G19" s="229">
        <f>FWY_Setup!$F$21</f>
        <v>10</v>
      </c>
      <c r="H19" s="229">
        <f t="shared" si="0"/>
        <v>0</v>
      </c>
      <c r="J19" s="694"/>
      <c r="K19" s="14" t="s">
        <v>589</v>
      </c>
      <c r="L19" s="110">
        <f>O46</f>
        <v>1</v>
      </c>
      <c r="N19" s="13" t="s">
        <v>620</v>
      </c>
      <c r="O19" s="78">
        <f>FWY_Ref!E100</f>
        <v>6</v>
      </c>
      <c r="Q19" s="13" t="s">
        <v>620</v>
      </c>
      <c r="R19" s="78">
        <f>FWY_Ref!N8</f>
        <v>6</v>
      </c>
      <c r="S19" s="376"/>
    </row>
    <row r="20" spans="1:99" ht="15" customHeight="1" x14ac:dyDescent="0.25">
      <c r="B20" s="572" t="s">
        <v>90</v>
      </c>
      <c r="C20" s="14" t="s">
        <v>619</v>
      </c>
      <c r="D20" s="100"/>
      <c r="E20" s="102">
        <f>IF(FWY_Calculations!D9+FWY_Calculations!D14=0,0,((FWY_Calculations!D9+FWY_Calculations!D14)*FWY_Ref!D11+MID(FWY_Ref!E117,4,1)*(FWY_Ref!D11)^2)*FWY_Project!C5*5280/27)</f>
        <v>0</v>
      </c>
      <c r="F20" s="395" t="s">
        <v>236</v>
      </c>
      <c r="G20" s="229">
        <f>FWY_Setup!F29</f>
        <v>8</v>
      </c>
      <c r="H20" s="229">
        <f t="shared" si="0"/>
        <v>0</v>
      </c>
      <c r="J20" s="694"/>
      <c r="K20" s="14" t="s">
        <v>588</v>
      </c>
      <c r="L20" s="110">
        <f>O47</f>
        <v>1</v>
      </c>
      <c r="N20" s="112" t="s">
        <v>609</v>
      </c>
      <c r="O20" s="492">
        <f>IF(FWY_Ref!$C$7=1,FWY_Ref!$D$341,SUM(FWY_Ref!$D$330:$D$339))</f>
        <v>0.15</v>
      </c>
      <c r="P20" s="493"/>
      <c r="Q20" s="112" t="s">
        <v>609</v>
      </c>
      <c r="R20" s="492">
        <f>IF(FWY_Ref!$C$7=1,FWY_Ref!$D$341,SUM(FWY_Ref!$D$330:$D$339))</f>
        <v>0.15</v>
      </c>
    </row>
    <row r="21" spans="1:99" ht="15" customHeight="1" x14ac:dyDescent="0.25">
      <c r="B21" s="572"/>
      <c r="C21" s="14" t="s">
        <v>618</v>
      </c>
      <c r="D21" s="491"/>
      <c r="E21" s="101">
        <f>IF(FWY_Calculations!D10+FWY_Calculations!D18=0,0,2*(0.5*(0.5*(FWY_Project!C20-2*FWY_Ref!E112)*FWY_Ref!J85)-0.5*(0.5*(FWY_Ref!J83-2*FWY_Ref!N9)*FWY_Ref!J86))*FWY_Project!C5*5280/27)</f>
        <v>0</v>
      </c>
      <c r="F21" s="395" t="s">
        <v>236</v>
      </c>
      <c r="G21" s="229">
        <f>FWY_Setup!F29</f>
        <v>8</v>
      </c>
      <c r="H21" s="229">
        <f t="shared" si="0"/>
        <v>0</v>
      </c>
      <c r="J21" s="694"/>
      <c r="K21" s="14" t="s">
        <v>587</v>
      </c>
      <c r="L21" s="110">
        <f>O48</f>
        <v>1</v>
      </c>
      <c r="N21" s="18" t="s">
        <v>533</v>
      </c>
      <c r="O21" s="81">
        <f>(1-O$20)*EXP(-0.0647*(O$19-10))+O$20*EXP(-0.0897*(O$19-10))</f>
        <v>1.3158100660084324</v>
      </c>
      <c r="Q21" s="18" t="s">
        <v>533</v>
      </c>
      <c r="R21" s="81">
        <f>(1-R$20)*EXP(-0.0647*(R$19-10))+R$20*EXP(-0.0897*(R$19-10))</f>
        <v>1.3158100660084324</v>
      </c>
    </row>
    <row r="22" spans="1:99" x14ac:dyDescent="0.25">
      <c r="B22" s="616" t="s">
        <v>228</v>
      </c>
      <c r="C22" s="14" t="s">
        <v>617</v>
      </c>
      <c r="D22" s="67"/>
      <c r="E22" s="101">
        <f>2*FWY_Ref!N15*FWY_Project!C5*5280</f>
        <v>0</v>
      </c>
      <c r="F22" s="69" t="s">
        <v>256</v>
      </c>
      <c r="G22" s="229">
        <f>FWY_Setup!F39</f>
        <v>0.4</v>
      </c>
      <c r="H22" s="229">
        <f t="shared" si="0"/>
        <v>0</v>
      </c>
      <c r="J22" s="694"/>
      <c r="K22" s="14" t="s">
        <v>586</v>
      </c>
      <c r="L22" s="110">
        <f>O54</f>
        <v>1.0686968403410602</v>
      </c>
      <c r="N22" s="18" t="s">
        <v>543</v>
      </c>
      <c r="O22" s="81">
        <f>(1-O$20)*EXP(0*(O$19-10))+O$20*EXP(-0.084*(O$19-10))</f>
        <v>1.0599008537216394</v>
      </c>
      <c r="Q22" s="18" t="s">
        <v>543</v>
      </c>
      <c r="R22" s="81">
        <f>(1-R$20)*EXP(0*(R$19-10))+R$20*EXP(-0.084*(R$19-10))</f>
        <v>1.0599008537216394</v>
      </c>
    </row>
    <row r="23" spans="1:99" x14ac:dyDescent="0.25">
      <c r="B23" s="697"/>
      <c r="C23" s="14" t="s">
        <v>616</v>
      </c>
      <c r="D23" s="67"/>
      <c r="E23" s="101">
        <f>2*FWY_Ref!N13*FWY_Project!C5*5280</f>
        <v>0</v>
      </c>
      <c r="F23" s="69" t="s">
        <v>256</v>
      </c>
      <c r="G23" s="229">
        <f>FWY_Setup!F39</f>
        <v>0.4</v>
      </c>
      <c r="H23" s="229">
        <f t="shared" si="0"/>
        <v>0</v>
      </c>
      <c r="J23" s="694"/>
      <c r="K23" s="14" t="s">
        <v>584</v>
      </c>
      <c r="L23" s="110">
        <f>O55</f>
        <v>1.0661137208227003</v>
      </c>
      <c r="N23" s="6"/>
      <c r="O23" s="7"/>
      <c r="Q23" s="6"/>
      <c r="R23" s="7"/>
    </row>
    <row r="24" spans="1:99" x14ac:dyDescent="0.25">
      <c r="B24" s="616" t="s">
        <v>460</v>
      </c>
      <c r="C24" s="14" t="s">
        <v>613</v>
      </c>
      <c r="D24" s="67"/>
      <c r="E24" s="101">
        <f>(SUM(FWY_Ref!J277:J296)+FWY_Ref!H269)*5280</f>
        <v>0</v>
      </c>
      <c r="F24" s="69" t="s">
        <v>256</v>
      </c>
      <c r="G24" s="229">
        <f>FWY_Setup!F41</f>
        <v>40</v>
      </c>
      <c r="H24" s="229">
        <f t="shared" si="0"/>
        <v>0</v>
      </c>
      <c r="J24" s="694"/>
      <c r="K24" s="14" t="s">
        <v>583</v>
      </c>
      <c r="L24" s="110">
        <f>O56</f>
        <v>0.97780990402755541</v>
      </c>
      <c r="N24" s="565" t="s">
        <v>615</v>
      </c>
      <c r="O24" s="565"/>
      <c r="P24" s="565"/>
      <c r="Q24" s="565"/>
      <c r="R24" s="565"/>
      <c r="Y24" s="7"/>
      <c r="Z24" s="625"/>
      <c r="AA24" s="625"/>
      <c r="AB24" s="625"/>
      <c r="AC24" s="625"/>
      <c r="AD24" s="625"/>
      <c r="AE24" s="7"/>
      <c r="AF24" s="625"/>
      <c r="AG24" s="625"/>
      <c r="AH24" s="625"/>
      <c r="AI24" s="625"/>
      <c r="AJ24" s="625"/>
      <c r="AK24" s="7"/>
      <c r="AL24" s="625"/>
      <c r="AM24" s="625"/>
      <c r="AN24" s="625"/>
      <c r="AO24" s="625"/>
      <c r="AP24" s="625"/>
      <c r="AQ24" s="7"/>
      <c r="AR24" s="625"/>
      <c r="AS24" s="625"/>
      <c r="AT24" s="625"/>
      <c r="AU24" s="625"/>
      <c r="AV24" s="625"/>
      <c r="AW24" s="7"/>
      <c r="AX24" s="625"/>
      <c r="AY24" s="625"/>
      <c r="AZ24" s="625"/>
      <c r="BA24" s="625"/>
      <c r="BB24" s="625"/>
      <c r="BC24" s="7"/>
      <c r="BD24" s="625"/>
      <c r="BE24" s="625"/>
      <c r="BF24" s="625"/>
      <c r="BG24" s="625"/>
      <c r="BH24" s="625"/>
      <c r="BI24" s="7"/>
      <c r="BJ24" s="625"/>
      <c r="BK24" s="625"/>
      <c r="BL24" s="625"/>
      <c r="BM24" s="625"/>
      <c r="BN24" s="625"/>
      <c r="BO24" s="7"/>
      <c r="BP24" s="625"/>
      <c r="BQ24" s="625"/>
      <c r="BR24" s="625"/>
      <c r="BS24" s="625"/>
      <c r="BT24" s="625"/>
      <c r="BU24" s="376"/>
      <c r="BV24" s="376"/>
      <c r="BW24" s="376"/>
      <c r="BX24" s="376"/>
      <c r="BY24" s="376"/>
      <c r="BZ24" s="376"/>
      <c r="CA24" s="376"/>
      <c r="CB24" s="376"/>
      <c r="CC24" s="376"/>
      <c r="CD24" s="376"/>
      <c r="CE24" s="376"/>
      <c r="CF24" s="376"/>
      <c r="CG24" s="376"/>
      <c r="CH24" s="376"/>
      <c r="CI24" s="376"/>
      <c r="CJ24" s="376"/>
      <c r="CK24" s="376"/>
      <c r="CL24" s="376"/>
      <c r="CM24" s="376"/>
      <c r="CN24" s="376"/>
      <c r="CO24" s="376"/>
      <c r="CP24" s="376"/>
      <c r="CQ24" s="376"/>
      <c r="CR24" s="376"/>
      <c r="CS24" s="376"/>
      <c r="CT24" s="376"/>
      <c r="CU24" s="376"/>
    </row>
    <row r="25" spans="1:99" x14ac:dyDescent="0.25">
      <c r="B25" s="696"/>
      <c r="C25" s="14" t="s">
        <v>612</v>
      </c>
      <c r="D25" s="100"/>
      <c r="E25" s="101">
        <f>(SUM(FWY_Ref!K277:K296)+FWY_Ref!I269)*5280</f>
        <v>0</v>
      </c>
      <c r="F25" s="395" t="s">
        <v>256</v>
      </c>
      <c r="G25" s="229">
        <f>FWY_Setup!F43</f>
        <v>15</v>
      </c>
      <c r="H25" s="229">
        <f t="shared" si="0"/>
        <v>0</v>
      </c>
      <c r="J25" s="694"/>
      <c r="K25" s="14" t="s">
        <v>581</v>
      </c>
      <c r="L25" s="110">
        <f>O57</f>
        <v>1.0656447339702122</v>
      </c>
      <c r="N25" s="691" t="s">
        <v>129</v>
      </c>
      <c r="O25" s="691"/>
      <c r="Q25" s="691" t="s">
        <v>130</v>
      </c>
      <c r="R25" s="691"/>
      <c r="T25" s="625"/>
      <c r="U25" s="625"/>
      <c r="V25" s="7"/>
      <c r="W25" s="625"/>
      <c r="X25" s="625"/>
      <c r="Y25" s="7"/>
      <c r="Z25" s="625"/>
      <c r="AA25" s="625"/>
      <c r="AB25" s="7"/>
      <c r="AC25" s="625"/>
      <c r="AD25" s="625"/>
      <c r="AE25" s="7"/>
      <c r="AF25" s="625"/>
      <c r="AG25" s="625"/>
      <c r="AH25" s="7"/>
      <c r="AI25" s="625"/>
      <c r="AJ25" s="625"/>
      <c r="AK25" s="7"/>
      <c r="AL25" s="625"/>
      <c r="AM25" s="625"/>
      <c r="AN25" s="7"/>
      <c r="AO25" s="625"/>
      <c r="AP25" s="625"/>
      <c r="AQ25" s="7"/>
      <c r="AR25" s="625"/>
      <c r="AS25" s="625"/>
      <c r="AT25" s="7"/>
      <c r="AU25" s="625"/>
      <c r="AV25" s="625"/>
      <c r="AW25" s="7"/>
      <c r="AX25" s="625"/>
      <c r="AY25" s="625"/>
      <c r="AZ25" s="7"/>
      <c r="BA25" s="625"/>
      <c r="BB25" s="625"/>
      <c r="BC25" s="7"/>
      <c r="BD25" s="625"/>
      <c r="BE25" s="625"/>
      <c r="BF25" s="7"/>
      <c r="BG25" s="625"/>
      <c r="BH25" s="625"/>
      <c r="BI25" s="7"/>
      <c r="BJ25" s="625"/>
      <c r="BK25" s="625"/>
      <c r="BL25" s="7"/>
      <c r="BM25" s="625"/>
      <c r="BN25" s="625"/>
      <c r="BO25" s="7"/>
      <c r="BP25" s="625"/>
      <c r="BQ25" s="625"/>
      <c r="BR25" s="7"/>
      <c r="BS25" s="625"/>
      <c r="BT25" s="625"/>
      <c r="BU25" s="376"/>
      <c r="BV25" s="376"/>
      <c r="BW25" s="376"/>
      <c r="BX25" s="376"/>
      <c r="BY25" s="376"/>
      <c r="BZ25" s="376"/>
      <c r="CA25" s="376"/>
      <c r="CB25" s="376"/>
      <c r="CC25" s="376"/>
      <c r="CD25" s="376"/>
      <c r="CE25" s="376"/>
      <c r="CF25" s="376"/>
      <c r="CG25" s="376"/>
      <c r="CH25" s="376"/>
      <c r="CI25" s="376"/>
      <c r="CJ25" s="376"/>
      <c r="CK25" s="376"/>
      <c r="CL25" s="376"/>
      <c r="CM25" s="376"/>
      <c r="CN25" s="376"/>
      <c r="CO25" s="376"/>
      <c r="CP25" s="376"/>
      <c r="CQ25" s="376"/>
      <c r="CR25" s="376"/>
      <c r="CS25" s="376"/>
      <c r="CT25" s="376"/>
      <c r="CU25" s="376"/>
    </row>
    <row r="26" spans="1:99" x14ac:dyDescent="0.25">
      <c r="B26" s="696"/>
      <c r="C26" s="14" t="s">
        <v>611</v>
      </c>
      <c r="D26" s="67"/>
      <c r="E26" s="101">
        <f>(SUM(FWY_Ref!L277:L296)+FWY_Ref!J269)*5280</f>
        <v>0</v>
      </c>
      <c r="F26" s="69" t="s">
        <v>256</v>
      </c>
      <c r="G26" s="229">
        <f>FWY_Setup!F45</f>
        <v>165</v>
      </c>
      <c r="H26" s="229">
        <f t="shared" si="0"/>
        <v>0</v>
      </c>
      <c r="J26" s="694"/>
      <c r="K26" s="14" t="s">
        <v>580</v>
      </c>
      <c r="L26" s="110">
        <f>O62</f>
        <v>1</v>
      </c>
      <c r="N26" s="18" t="s">
        <v>564</v>
      </c>
      <c r="O26" s="81">
        <f>1+0.0172*IF(FWY_Ref!C7=1,FWY_Ref!E341,SUM(FWY_Ref!$E$330:$E$339))</f>
        <v>1.0080197758106508</v>
      </c>
      <c r="Q26" s="18" t="s">
        <v>564</v>
      </c>
      <c r="R26" s="81">
        <f>1+0.0172*IF(FWY_Ref!C7=1,FWY_Ref!E341,SUM(FWY_Ref!$E$330:$E$339))</f>
        <v>1.0080197758106508</v>
      </c>
      <c r="T26" s="7"/>
      <c r="U26" s="490"/>
      <c r="V26" s="7"/>
      <c r="W26" s="7"/>
      <c r="X26" s="490"/>
      <c r="Y26" s="7"/>
      <c r="Z26" s="7"/>
      <c r="AA26" s="490"/>
      <c r="AB26" s="7"/>
      <c r="AC26" s="7"/>
      <c r="AD26" s="490"/>
      <c r="AE26" s="7"/>
      <c r="AF26" s="7"/>
      <c r="AG26" s="490"/>
      <c r="AH26" s="7"/>
      <c r="AI26" s="7"/>
      <c r="AJ26" s="490"/>
      <c r="AK26" s="7"/>
      <c r="AL26" s="7"/>
      <c r="AM26" s="490"/>
      <c r="AN26" s="7"/>
      <c r="AO26" s="7"/>
      <c r="AP26" s="490"/>
      <c r="AQ26" s="7"/>
      <c r="AR26" s="7"/>
      <c r="AS26" s="490"/>
      <c r="AT26" s="7"/>
      <c r="AU26" s="7"/>
      <c r="AV26" s="490"/>
      <c r="AW26" s="7"/>
      <c r="AX26" s="7"/>
      <c r="AY26" s="490"/>
      <c r="AZ26" s="7"/>
      <c r="BA26" s="7"/>
      <c r="BB26" s="490"/>
      <c r="BC26" s="7"/>
      <c r="BD26" s="7"/>
      <c r="BE26" s="490"/>
      <c r="BF26" s="7"/>
      <c r="BG26" s="7"/>
      <c r="BH26" s="490"/>
      <c r="BI26" s="7"/>
      <c r="BJ26" s="7"/>
      <c r="BK26" s="490"/>
      <c r="BL26" s="7"/>
      <c r="BM26" s="7"/>
      <c r="BN26" s="490"/>
      <c r="BO26" s="7"/>
      <c r="BP26" s="7"/>
      <c r="BQ26" s="490"/>
      <c r="BR26" s="7"/>
      <c r="BS26" s="7"/>
      <c r="BT26" s="490"/>
      <c r="BU26" s="376"/>
      <c r="BV26" s="376"/>
      <c r="BW26" s="376"/>
      <c r="BX26" s="376"/>
      <c r="BY26" s="376"/>
      <c r="BZ26" s="376"/>
      <c r="CA26" s="376"/>
      <c r="CB26" s="376"/>
      <c r="CC26" s="376"/>
      <c r="CD26" s="376"/>
      <c r="CE26" s="376"/>
      <c r="CF26" s="376"/>
      <c r="CG26" s="376"/>
      <c r="CH26" s="376"/>
      <c r="CI26" s="376"/>
      <c r="CJ26" s="376"/>
      <c r="CK26" s="376"/>
      <c r="CL26" s="376"/>
      <c r="CM26" s="376"/>
      <c r="CN26" s="376"/>
      <c r="CO26" s="376"/>
      <c r="CP26" s="376"/>
      <c r="CQ26" s="376"/>
      <c r="CR26" s="376"/>
      <c r="CS26" s="376"/>
      <c r="CT26" s="376"/>
      <c r="CU26" s="376"/>
    </row>
    <row r="27" spans="1:99" x14ac:dyDescent="0.25">
      <c r="B27" s="696"/>
      <c r="C27" s="14" t="s">
        <v>610</v>
      </c>
      <c r="D27" s="100"/>
      <c r="E27" s="101">
        <f>(SUM(FWY_Ref!G277:G296)+SUM(FWY_Ref!H238:H247)+FWY_Ref!H268)*5280</f>
        <v>0</v>
      </c>
      <c r="F27" s="395" t="s">
        <v>256</v>
      </c>
      <c r="G27" s="229">
        <f>FWY_Setup!F47</f>
        <v>2</v>
      </c>
      <c r="H27" s="229">
        <f t="shared" si="0"/>
        <v>0</v>
      </c>
      <c r="J27" s="694"/>
      <c r="K27" s="14" t="s">
        <v>579</v>
      </c>
      <c r="L27" s="110">
        <f>O63</f>
        <v>1</v>
      </c>
      <c r="N27" s="18" t="s">
        <v>553</v>
      </c>
      <c r="O27" s="81">
        <f>1+0.034*IF(FWY_Ref!C7=1,FWY_Ref!E341,SUM(FWY_Ref!$E$330:$E$339))</f>
        <v>1.0158530452071006</v>
      </c>
      <c r="Q27" s="18" t="s">
        <v>553</v>
      </c>
      <c r="R27" s="81">
        <f>1+0.034*IF(FWY_Ref!C7=1,FWY_Ref!E341,SUM(FWY_Ref!$E$330:$E$339))</f>
        <v>1.0158530452071006</v>
      </c>
      <c r="T27" s="26"/>
      <c r="U27" s="26"/>
      <c r="V27" s="26"/>
      <c r="W27" s="26"/>
      <c r="X27" s="26"/>
      <c r="Y27" s="7"/>
      <c r="Z27" s="7"/>
      <c r="AA27" s="405"/>
      <c r="AB27" s="7"/>
      <c r="AC27" s="7"/>
      <c r="AD27" s="405"/>
      <c r="AE27" s="7"/>
      <c r="AF27" s="7"/>
      <c r="AG27" s="405"/>
      <c r="AH27" s="7"/>
      <c r="AI27" s="7"/>
      <c r="AJ27" s="405"/>
      <c r="AK27" s="7"/>
      <c r="AL27" s="7"/>
      <c r="AM27" s="405"/>
      <c r="AN27" s="7"/>
      <c r="AO27" s="7"/>
      <c r="AP27" s="405"/>
      <c r="AQ27" s="7"/>
      <c r="AR27" s="7"/>
      <c r="AS27" s="405"/>
      <c r="AT27" s="7"/>
      <c r="AU27" s="7"/>
      <c r="AV27" s="405"/>
      <c r="AW27" s="7"/>
      <c r="AX27" s="7"/>
      <c r="AY27" s="405"/>
      <c r="AZ27" s="7"/>
      <c r="BA27" s="7"/>
      <c r="BB27" s="405"/>
      <c r="BC27" s="7"/>
      <c r="BD27" s="7"/>
      <c r="BE27" s="405"/>
      <c r="BF27" s="7"/>
      <c r="BG27" s="7"/>
      <c r="BH27" s="405"/>
      <c r="BI27" s="7"/>
      <c r="BJ27" s="7"/>
      <c r="BK27" s="405"/>
      <c r="BL27" s="7"/>
      <c r="BM27" s="7"/>
      <c r="BN27" s="405"/>
      <c r="BO27" s="7"/>
      <c r="BP27" s="7"/>
      <c r="BQ27" s="405"/>
      <c r="BR27" s="7"/>
      <c r="BS27" s="7"/>
      <c r="BT27" s="405"/>
      <c r="BU27" s="376"/>
      <c r="BV27" s="376"/>
      <c r="BW27" s="376"/>
      <c r="BX27" s="376"/>
      <c r="BY27" s="376"/>
      <c r="BZ27" s="376"/>
      <c r="CA27" s="376"/>
      <c r="CB27" s="376"/>
      <c r="CC27" s="376"/>
      <c r="CD27" s="376"/>
      <c r="CE27" s="376"/>
      <c r="CF27" s="376"/>
      <c r="CG27" s="376"/>
      <c r="CH27" s="376"/>
      <c r="CI27" s="376"/>
      <c r="CJ27" s="376"/>
      <c r="CK27" s="376"/>
      <c r="CL27" s="376"/>
      <c r="CM27" s="376"/>
      <c r="CN27" s="376"/>
      <c r="CO27" s="376"/>
      <c r="CP27" s="376"/>
      <c r="CQ27" s="376"/>
      <c r="CR27" s="376"/>
      <c r="CS27" s="376"/>
      <c r="CT27" s="376"/>
      <c r="CU27" s="376"/>
    </row>
    <row r="28" spans="1:99" x14ac:dyDescent="0.25">
      <c r="B28" s="696"/>
      <c r="C28" s="14" t="s">
        <v>608</v>
      </c>
      <c r="D28" s="67"/>
      <c r="E28" s="101">
        <f>(SUM(FWY_Ref!H277:H296)+SUM(FWY_Ref!I238:I247)+FWY_Ref!I268)*5280</f>
        <v>0</v>
      </c>
      <c r="F28" s="69" t="s">
        <v>256</v>
      </c>
      <c r="G28" s="229">
        <f>FWY_Setup!F49</f>
        <v>1.5</v>
      </c>
      <c r="H28" s="229">
        <f t="shared" si="0"/>
        <v>0</v>
      </c>
      <c r="J28" s="694"/>
      <c r="K28" s="14" t="s">
        <v>578</v>
      </c>
      <c r="L28" s="110">
        <f>O64</f>
        <v>1</v>
      </c>
      <c r="N28" s="18" t="s">
        <v>533</v>
      </c>
      <c r="O28" s="81">
        <f>1+0.0719*IF(FWY_Ref!C7=1,FWY_Ref!E341,SUM(FWY_Ref!$E$330:$E$339))</f>
        <v>1.0335245279526628</v>
      </c>
      <c r="Q28" s="18" t="s">
        <v>533</v>
      </c>
      <c r="R28" s="81">
        <f>1+0.0719*IF(FWY_Ref!C7=1,FWY_Ref!E341,SUM(FWY_Ref!$E$330:$E$339))</f>
        <v>1.0335245279526628</v>
      </c>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376"/>
      <c r="BV28" s="376"/>
      <c r="BW28" s="376"/>
      <c r="BX28" s="376"/>
      <c r="BY28" s="376"/>
      <c r="BZ28" s="376"/>
      <c r="CA28" s="376"/>
      <c r="CB28" s="376"/>
      <c r="CC28" s="376"/>
      <c r="CD28" s="376"/>
      <c r="CE28" s="376"/>
      <c r="CF28" s="376"/>
      <c r="CG28" s="376"/>
      <c r="CH28" s="376"/>
      <c r="CI28" s="376"/>
      <c r="CJ28" s="376"/>
      <c r="CK28" s="376"/>
      <c r="CL28" s="376"/>
      <c r="CM28" s="376"/>
      <c r="CN28" s="376"/>
      <c r="CO28" s="376"/>
      <c r="CP28" s="376"/>
      <c r="CQ28" s="376"/>
      <c r="CR28" s="376"/>
      <c r="CS28" s="376"/>
      <c r="CT28" s="376"/>
      <c r="CU28" s="376"/>
    </row>
    <row r="29" spans="1:99" x14ac:dyDescent="0.25">
      <c r="B29" s="697"/>
      <c r="C29" s="14" t="s">
        <v>606</v>
      </c>
      <c r="D29" s="100"/>
      <c r="E29" s="101">
        <f>(SUM(FWY_Ref!I277:I296)+SUM(FWY_Ref!J238:J247)+FWY_Ref!J268)*5280</f>
        <v>0</v>
      </c>
      <c r="F29" s="395" t="s">
        <v>256</v>
      </c>
      <c r="G29" s="229">
        <f>FWY_Setup!F51</f>
        <v>10</v>
      </c>
      <c r="H29" s="229">
        <f t="shared" si="0"/>
        <v>0</v>
      </c>
      <c r="J29" s="694"/>
      <c r="K29" s="14" t="s">
        <v>577</v>
      </c>
      <c r="L29" s="110">
        <f>O65</f>
        <v>1</v>
      </c>
      <c r="N29" s="18" t="s">
        <v>543</v>
      </c>
      <c r="O29" s="81">
        <f>1+0.0626*IF(FWY_Ref!C7=1,FWY_Ref!E341,SUM(FWY_Ref!$E$330:$E$339))</f>
        <v>1.0291882538224852</v>
      </c>
      <c r="Q29" s="18" t="s">
        <v>543</v>
      </c>
      <c r="R29" s="81">
        <f>1+0.0626*IF(FWY_Ref!C7=1,FWY_Ref!E341,SUM(FWY_Ref!$E$330:$E$339))</f>
        <v>1.0291882538224852</v>
      </c>
      <c r="T29" s="428"/>
      <c r="U29" s="489"/>
      <c r="V29" s="7"/>
      <c r="W29" s="123"/>
      <c r="X29" s="489"/>
      <c r="Y29" s="7"/>
      <c r="Z29" s="123"/>
      <c r="AA29" s="489"/>
      <c r="AB29" s="7"/>
      <c r="AC29" s="123"/>
      <c r="AD29" s="489"/>
      <c r="AE29" s="7"/>
      <c r="AF29" s="123"/>
      <c r="AG29" s="489"/>
      <c r="AH29" s="7"/>
      <c r="AI29" s="123"/>
      <c r="AJ29" s="489"/>
      <c r="AK29" s="7"/>
      <c r="AL29" s="123"/>
      <c r="AM29" s="489"/>
      <c r="AN29" s="7"/>
      <c r="AO29" s="123"/>
      <c r="AP29" s="489"/>
      <c r="AQ29" s="7"/>
      <c r="AR29" s="123"/>
      <c r="AS29" s="489"/>
      <c r="AT29" s="7"/>
      <c r="AU29" s="123"/>
      <c r="AV29" s="489"/>
      <c r="AW29" s="7"/>
      <c r="AX29" s="123"/>
      <c r="AY29" s="489"/>
      <c r="AZ29" s="7"/>
      <c r="BA29" s="123"/>
      <c r="BB29" s="489"/>
      <c r="BC29" s="7"/>
      <c r="BD29" s="123"/>
      <c r="BE29" s="489"/>
      <c r="BF29" s="7"/>
      <c r="BG29" s="123"/>
      <c r="BH29" s="489"/>
      <c r="BI29" s="7"/>
      <c r="BJ29" s="123"/>
      <c r="BK29" s="489"/>
      <c r="BL29" s="7"/>
      <c r="BM29" s="123"/>
      <c r="BN29" s="489"/>
      <c r="BO29" s="7"/>
      <c r="BP29" s="123"/>
      <c r="BQ29" s="489"/>
      <c r="BR29" s="7"/>
      <c r="BS29" s="123"/>
      <c r="BT29" s="489"/>
      <c r="BU29" s="376"/>
      <c r="BV29" s="376"/>
      <c r="BW29" s="376"/>
      <c r="BX29" s="376"/>
      <c r="BY29" s="376"/>
      <c r="BZ29" s="376"/>
      <c r="CA29" s="376"/>
      <c r="CB29" s="376"/>
      <c r="CC29" s="376"/>
      <c r="CD29" s="376"/>
      <c r="CE29" s="376"/>
      <c r="CF29" s="376"/>
      <c r="CG29" s="376"/>
      <c r="CH29" s="376"/>
      <c r="CI29" s="376"/>
      <c r="CJ29" s="376"/>
      <c r="CK29" s="376"/>
      <c r="CL29" s="376"/>
      <c r="CM29" s="376"/>
      <c r="CN29" s="376"/>
      <c r="CO29" s="376"/>
      <c r="CP29" s="376"/>
      <c r="CQ29" s="376"/>
      <c r="CR29" s="376"/>
      <c r="CS29" s="376"/>
      <c r="CT29" s="376"/>
      <c r="CU29" s="376"/>
    </row>
    <row r="30" spans="1:99" x14ac:dyDescent="0.25">
      <c r="A30" s="3"/>
      <c r="B30" s="560" t="s">
        <v>614</v>
      </c>
      <c r="C30" s="14" t="s">
        <v>613</v>
      </c>
      <c r="D30" s="67"/>
      <c r="E30" s="101">
        <f>SUM(FWY_Ref!J304:J323)*5280</f>
        <v>0</v>
      </c>
      <c r="F30" s="69" t="s">
        <v>256</v>
      </c>
      <c r="G30" s="229">
        <f>FWY_Setup!F41</f>
        <v>40</v>
      </c>
      <c r="H30" s="229">
        <f t="shared" si="0"/>
        <v>0</v>
      </c>
      <c r="J30" s="694"/>
      <c r="K30" s="14" t="s">
        <v>576</v>
      </c>
      <c r="L30" s="476">
        <f>O73</f>
        <v>1</v>
      </c>
      <c r="T30" s="428"/>
      <c r="U30" s="7"/>
      <c r="V30" s="7"/>
      <c r="W30" s="7"/>
      <c r="X30" s="7"/>
      <c r="Y30" s="7"/>
      <c r="Z30" s="7"/>
      <c r="AA30" s="7"/>
      <c r="AB30" s="7"/>
      <c r="AC30" s="7"/>
      <c r="AD30" s="7"/>
      <c r="AE30" s="7"/>
      <c r="AF30" s="7"/>
      <c r="AG30" s="7"/>
      <c r="AH30" s="7"/>
      <c r="AI30" s="7"/>
      <c r="AJ30" s="124"/>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376"/>
      <c r="BV30" s="376"/>
      <c r="BW30" s="376"/>
      <c r="BX30" s="376"/>
      <c r="BY30" s="376"/>
      <c r="BZ30" s="376"/>
      <c r="CA30" s="376"/>
      <c r="CB30" s="376"/>
      <c r="CC30" s="376"/>
      <c r="CD30" s="376"/>
      <c r="CE30" s="376"/>
      <c r="CF30" s="376"/>
      <c r="CG30" s="376"/>
      <c r="CH30" s="376"/>
      <c r="CI30" s="376"/>
      <c r="CJ30" s="376"/>
      <c r="CK30" s="376"/>
      <c r="CL30" s="376"/>
      <c r="CM30" s="376"/>
      <c r="CN30" s="376"/>
      <c r="CO30" s="376"/>
      <c r="CP30" s="376"/>
      <c r="CQ30" s="376"/>
      <c r="CR30" s="376"/>
      <c r="CS30" s="376"/>
      <c r="CT30" s="376"/>
      <c r="CU30" s="376"/>
    </row>
    <row r="31" spans="1:99" ht="15.75" customHeight="1" x14ac:dyDescent="0.25">
      <c r="A31" s="3"/>
      <c r="B31" s="561"/>
      <c r="C31" s="14" t="s">
        <v>612</v>
      </c>
      <c r="D31" s="100"/>
      <c r="E31" s="101">
        <f>SUM(FWY_Ref!K304:K323)*5280</f>
        <v>0</v>
      </c>
      <c r="F31" s="395" t="s">
        <v>256</v>
      </c>
      <c r="G31" s="229">
        <f>FWY_Setup!F43</f>
        <v>15</v>
      </c>
      <c r="H31" s="229">
        <f t="shared" si="0"/>
        <v>0</v>
      </c>
      <c r="J31" s="694"/>
      <c r="K31" s="14" t="s">
        <v>574</v>
      </c>
      <c r="L31" s="476">
        <f>O78</f>
        <v>1</v>
      </c>
      <c r="N31" s="565" t="s">
        <v>138</v>
      </c>
      <c r="O31" s="565"/>
      <c r="P31" s="565"/>
      <c r="Q31" s="565"/>
      <c r="R31" s="565"/>
      <c r="T31" s="26"/>
      <c r="U31" s="26"/>
      <c r="V31" s="26"/>
      <c r="W31" s="26"/>
      <c r="X31" s="26"/>
      <c r="Y31" s="7"/>
      <c r="Z31" s="625"/>
      <c r="AA31" s="625"/>
      <c r="AB31" s="625"/>
      <c r="AC31" s="625"/>
      <c r="AD31" s="625"/>
      <c r="AE31" s="7"/>
      <c r="AF31" s="625"/>
      <c r="AG31" s="625"/>
      <c r="AH31" s="625"/>
      <c r="AI31" s="625"/>
      <c r="AJ31" s="625"/>
      <c r="AK31" s="7"/>
      <c r="AL31" s="625"/>
      <c r="AM31" s="625"/>
      <c r="AN31" s="625"/>
      <c r="AO31" s="625"/>
      <c r="AP31" s="625"/>
      <c r="AQ31" s="7"/>
      <c r="AR31" s="625"/>
      <c r="AS31" s="625"/>
      <c r="AT31" s="625"/>
      <c r="AU31" s="625"/>
      <c r="AV31" s="625"/>
      <c r="AW31" s="7"/>
      <c r="AX31" s="625"/>
      <c r="AY31" s="625"/>
      <c r="AZ31" s="625"/>
      <c r="BA31" s="625"/>
      <c r="BB31" s="625"/>
      <c r="BC31" s="7"/>
      <c r="BD31" s="625"/>
      <c r="BE31" s="625"/>
      <c r="BF31" s="625"/>
      <c r="BG31" s="625"/>
      <c r="BH31" s="625"/>
      <c r="BI31" s="7"/>
      <c r="BJ31" s="625"/>
      <c r="BK31" s="625"/>
      <c r="BL31" s="625"/>
      <c r="BM31" s="625"/>
      <c r="BN31" s="625"/>
      <c r="BO31" s="7"/>
      <c r="BP31" s="625"/>
      <c r="BQ31" s="625"/>
      <c r="BR31" s="625"/>
      <c r="BS31" s="625"/>
      <c r="BT31" s="625"/>
      <c r="BU31" s="376"/>
      <c r="BV31" s="376"/>
      <c r="BW31" s="376"/>
      <c r="BX31" s="376"/>
      <c r="BY31" s="376"/>
      <c r="BZ31" s="376"/>
      <c r="CA31" s="376"/>
      <c r="CB31" s="376"/>
      <c r="CC31" s="376"/>
      <c r="CD31" s="376"/>
      <c r="CE31" s="376"/>
      <c r="CF31" s="376"/>
      <c r="CG31" s="376"/>
      <c r="CH31" s="376"/>
      <c r="CI31" s="376"/>
      <c r="CJ31" s="376"/>
      <c r="CK31" s="376"/>
      <c r="CL31" s="376"/>
      <c r="CM31" s="376"/>
      <c r="CN31" s="376"/>
      <c r="CO31" s="376"/>
      <c r="CP31" s="376"/>
      <c r="CQ31" s="376"/>
      <c r="CR31" s="376"/>
      <c r="CS31" s="376"/>
      <c r="CT31" s="376"/>
      <c r="CU31" s="376"/>
    </row>
    <row r="32" spans="1:99" x14ac:dyDescent="0.25">
      <c r="A32" s="3"/>
      <c r="B32" s="561"/>
      <c r="C32" s="14" t="s">
        <v>611</v>
      </c>
      <c r="D32" s="67"/>
      <c r="E32" s="101">
        <f>SUM(FWY_Ref!L304:L323)*5280</f>
        <v>0</v>
      </c>
      <c r="F32" s="69" t="s">
        <v>256</v>
      </c>
      <c r="G32" s="229">
        <f>FWY_Setup!F45</f>
        <v>165</v>
      </c>
      <c r="H32" s="229">
        <f t="shared" si="0"/>
        <v>0</v>
      </c>
      <c r="J32" s="694"/>
      <c r="K32" s="14" t="s">
        <v>573</v>
      </c>
      <c r="L32" s="476">
        <f>O84</f>
        <v>1</v>
      </c>
      <c r="N32" s="691" t="s">
        <v>129</v>
      </c>
      <c r="O32" s="691"/>
      <c r="Q32" s="691" t="s">
        <v>130</v>
      </c>
      <c r="R32" s="691"/>
      <c r="T32" s="26"/>
      <c r="U32" s="26"/>
      <c r="V32" s="7"/>
      <c r="W32" s="26"/>
      <c r="X32" s="26"/>
      <c r="Y32" s="7"/>
      <c r="Z32" s="625"/>
      <c r="AA32" s="625"/>
      <c r="AB32" s="7"/>
      <c r="AC32" s="625"/>
      <c r="AD32" s="625"/>
      <c r="AE32" s="7"/>
      <c r="AF32" s="625"/>
      <c r="AG32" s="625"/>
      <c r="AH32" s="7"/>
      <c r="AI32" s="625"/>
      <c r="AJ32" s="625"/>
      <c r="AK32" s="7"/>
      <c r="AL32" s="625"/>
      <c r="AM32" s="625"/>
      <c r="AN32" s="7"/>
      <c r="AO32" s="625"/>
      <c r="AP32" s="625"/>
      <c r="AQ32" s="7"/>
      <c r="AR32" s="625"/>
      <c r="AS32" s="625"/>
      <c r="AT32" s="7"/>
      <c r="AU32" s="625"/>
      <c r="AV32" s="625"/>
      <c r="AW32" s="7"/>
      <c r="AX32" s="625"/>
      <c r="AY32" s="625"/>
      <c r="AZ32" s="7"/>
      <c r="BA32" s="625"/>
      <c r="BB32" s="625"/>
      <c r="BC32" s="7"/>
      <c r="BD32" s="625"/>
      <c r="BE32" s="625"/>
      <c r="BF32" s="7"/>
      <c r="BG32" s="625"/>
      <c r="BH32" s="625"/>
      <c r="BI32" s="7"/>
      <c r="BJ32" s="625"/>
      <c r="BK32" s="625"/>
      <c r="BL32" s="7"/>
      <c r="BM32" s="625"/>
      <c r="BN32" s="625"/>
      <c r="BO32" s="7"/>
      <c r="BP32" s="625"/>
      <c r="BQ32" s="625"/>
      <c r="BR32" s="7"/>
      <c r="BS32" s="625"/>
      <c r="BT32" s="625"/>
      <c r="BU32" s="376"/>
      <c r="BV32" s="376"/>
      <c r="BW32" s="376"/>
      <c r="BX32" s="376"/>
      <c r="BY32" s="376"/>
      <c r="BZ32" s="376"/>
      <c r="CA32" s="376"/>
      <c r="CB32" s="376"/>
      <c r="CC32" s="376"/>
      <c r="CD32" s="376"/>
      <c r="CE32" s="376"/>
      <c r="CF32" s="376"/>
      <c r="CG32" s="376"/>
      <c r="CH32" s="376"/>
      <c r="CI32" s="376"/>
      <c r="CJ32" s="376"/>
      <c r="CK32" s="376"/>
      <c r="CL32" s="376"/>
      <c r="CM32" s="376"/>
      <c r="CN32" s="376"/>
      <c r="CO32" s="376"/>
      <c r="CP32" s="376"/>
      <c r="CQ32" s="376"/>
      <c r="CR32" s="376"/>
      <c r="CS32" s="376"/>
      <c r="CT32" s="376"/>
      <c r="CU32" s="376"/>
    </row>
    <row r="33" spans="1:99" x14ac:dyDescent="0.25">
      <c r="A33" s="3"/>
      <c r="B33" s="561"/>
      <c r="C33" s="14" t="s">
        <v>610</v>
      </c>
      <c r="D33" s="100"/>
      <c r="E33" s="101">
        <f>(SUM(FWY_Ref!G304:G323)+SUM(FWY_Ref!H256:H265))*5280</f>
        <v>0</v>
      </c>
      <c r="F33" s="395" t="s">
        <v>256</v>
      </c>
      <c r="G33" s="229">
        <f>FWY_Setup!F47</f>
        <v>2</v>
      </c>
      <c r="H33" s="229">
        <f t="shared" si="0"/>
        <v>0</v>
      </c>
      <c r="J33" s="694"/>
      <c r="K33" s="14" t="s">
        <v>571</v>
      </c>
      <c r="L33" s="476">
        <f>O85</f>
        <v>1</v>
      </c>
      <c r="N33" s="13" t="s">
        <v>609</v>
      </c>
      <c r="O33" s="80">
        <f>O20</f>
        <v>0.15</v>
      </c>
      <c r="Q33" s="13" t="s">
        <v>609</v>
      </c>
      <c r="R33" s="80">
        <f>R20</f>
        <v>0.15</v>
      </c>
      <c r="T33" s="407"/>
      <c r="U33" s="485"/>
      <c r="V33" s="7"/>
      <c r="W33" s="407"/>
      <c r="X33" s="485"/>
      <c r="Y33" s="7"/>
      <c r="Z33" s="853"/>
      <c r="AA33" s="852"/>
      <c r="AB33" s="7"/>
      <c r="AC33" s="853"/>
      <c r="AD33" s="852"/>
      <c r="AE33" s="7"/>
      <c r="AF33" s="853"/>
      <c r="AG33" s="852"/>
      <c r="AH33" s="7"/>
      <c r="AI33" s="853"/>
      <c r="AJ33" s="852"/>
      <c r="AK33" s="7"/>
      <c r="AL33" s="853"/>
      <c r="AM33" s="852"/>
      <c r="AN33" s="7"/>
      <c r="AO33" s="853"/>
      <c r="AP33" s="852"/>
      <c r="AQ33" s="7"/>
      <c r="AR33" s="853"/>
      <c r="AS33" s="852"/>
      <c r="AT33" s="7"/>
      <c r="AU33" s="853"/>
      <c r="AV33" s="852"/>
      <c r="AW33" s="7"/>
      <c r="AX33" s="853"/>
      <c r="AY33" s="852"/>
      <c r="AZ33" s="7"/>
      <c r="BA33" s="853"/>
      <c r="BB33" s="852"/>
      <c r="BC33" s="7"/>
      <c r="BD33" s="853"/>
      <c r="BE33" s="852"/>
      <c r="BF33" s="7"/>
      <c r="BG33" s="853"/>
      <c r="BH33" s="852"/>
      <c r="BI33" s="7"/>
      <c r="BJ33" s="853"/>
      <c r="BK33" s="852"/>
      <c r="BL33" s="7"/>
      <c r="BM33" s="853"/>
      <c r="BN33" s="852"/>
      <c r="BO33" s="7"/>
      <c r="BP33" s="853"/>
      <c r="BQ33" s="852"/>
      <c r="BR33" s="7"/>
      <c r="BS33" s="853"/>
      <c r="BT33" s="852"/>
      <c r="BU33" s="376"/>
      <c r="BV33" s="376"/>
      <c r="BW33" s="376"/>
      <c r="BX33" s="376"/>
      <c r="BY33" s="376"/>
      <c r="BZ33" s="376"/>
      <c r="CA33" s="376"/>
      <c r="CB33" s="376"/>
      <c r="CC33" s="376"/>
      <c r="CD33" s="376"/>
      <c r="CE33" s="376"/>
      <c r="CF33" s="376"/>
      <c r="CG33" s="376"/>
      <c r="CH33" s="376"/>
      <c r="CI33" s="376"/>
      <c r="CJ33" s="376"/>
      <c r="CK33" s="376"/>
      <c r="CL33" s="376"/>
      <c r="CM33" s="376"/>
      <c r="CN33" s="376"/>
      <c r="CO33" s="376"/>
      <c r="CP33" s="376"/>
      <c r="CQ33" s="376"/>
      <c r="CR33" s="376"/>
      <c r="CS33" s="376"/>
      <c r="CT33" s="376"/>
      <c r="CU33" s="376"/>
    </row>
    <row r="34" spans="1:99" x14ac:dyDescent="0.25">
      <c r="A34" s="3"/>
      <c r="B34" s="561"/>
      <c r="C34" s="14" t="s">
        <v>608</v>
      </c>
      <c r="D34" s="67"/>
      <c r="E34" s="101">
        <f>(SUM(FWY_Ref!H304:H323)+SUM(FWY_Ref!I256:I265))*5280</f>
        <v>0</v>
      </c>
      <c r="F34" s="69" t="s">
        <v>256</v>
      </c>
      <c r="G34" s="229">
        <f>FWY_Setup!F49</f>
        <v>1.5</v>
      </c>
      <c r="H34" s="229">
        <f t="shared" si="0"/>
        <v>0</v>
      </c>
      <c r="J34" s="694"/>
      <c r="K34" s="14" t="s">
        <v>569</v>
      </c>
      <c r="L34" s="476">
        <f>O93</f>
        <v>1.0508611805872119</v>
      </c>
      <c r="N34" s="112" t="s">
        <v>607</v>
      </c>
      <c r="O34" s="488">
        <f>0.5*((1-O35)+O35*0.811)+0.5*((1-O36)+O36*0.811)</f>
        <v>1</v>
      </c>
      <c r="Q34" s="112" t="s">
        <v>607</v>
      </c>
      <c r="R34" s="488">
        <f>0.5*((1-R35)+R35*0.811)+0.5*((1-R36)+R36*0.811)</f>
        <v>1</v>
      </c>
      <c r="T34" s="407"/>
      <c r="U34" s="485"/>
      <c r="V34" s="7"/>
      <c r="W34" s="407"/>
      <c r="X34" s="485"/>
      <c r="Y34" s="7"/>
      <c r="Z34" s="853"/>
      <c r="AA34" s="852"/>
      <c r="AB34" s="7"/>
      <c r="AC34" s="853"/>
      <c r="AD34" s="852"/>
      <c r="AE34" s="7"/>
      <c r="AF34" s="853"/>
      <c r="AG34" s="852"/>
      <c r="AH34" s="7"/>
      <c r="AI34" s="853"/>
      <c r="AJ34" s="852"/>
      <c r="AK34" s="7"/>
      <c r="AL34" s="853"/>
      <c r="AM34" s="852"/>
      <c r="AN34" s="7"/>
      <c r="AO34" s="853"/>
      <c r="AP34" s="852"/>
      <c r="AQ34" s="7"/>
      <c r="AR34" s="853"/>
      <c r="AS34" s="852"/>
      <c r="AT34" s="7"/>
      <c r="AU34" s="853"/>
      <c r="AV34" s="852"/>
      <c r="AW34" s="7"/>
      <c r="AX34" s="853"/>
      <c r="AY34" s="852"/>
      <c r="AZ34" s="7"/>
      <c r="BA34" s="853"/>
      <c r="BB34" s="852"/>
      <c r="BC34" s="7"/>
      <c r="BD34" s="853"/>
      <c r="BE34" s="852"/>
      <c r="BF34" s="7"/>
      <c r="BG34" s="853"/>
      <c r="BH34" s="852"/>
      <c r="BI34" s="7"/>
      <c r="BJ34" s="853"/>
      <c r="BK34" s="852"/>
      <c r="BL34" s="7"/>
      <c r="BM34" s="853"/>
      <c r="BN34" s="852"/>
      <c r="BO34" s="7"/>
      <c r="BP34" s="853"/>
      <c r="BQ34" s="852"/>
      <c r="BR34" s="7"/>
      <c r="BS34" s="853"/>
      <c r="BT34" s="852"/>
      <c r="BU34" s="376"/>
      <c r="BV34" s="376"/>
      <c r="BW34" s="376"/>
      <c r="BX34" s="376"/>
      <c r="BY34" s="376"/>
      <c r="BZ34" s="376"/>
      <c r="CA34" s="376"/>
      <c r="CB34" s="376"/>
      <c r="CC34" s="376"/>
      <c r="CD34" s="376"/>
      <c r="CE34" s="376"/>
      <c r="CF34" s="376"/>
      <c r="CG34" s="376"/>
      <c r="CH34" s="376"/>
      <c r="CI34" s="376"/>
      <c r="CJ34" s="376"/>
      <c r="CK34" s="376"/>
      <c r="CL34" s="376"/>
      <c r="CM34" s="376"/>
      <c r="CN34" s="376"/>
      <c r="CO34" s="376"/>
      <c r="CP34" s="376"/>
      <c r="CQ34" s="376"/>
      <c r="CR34" s="376"/>
      <c r="CS34" s="376"/>
      <c r="CT34" s="376"/>
      <c r="CU34" s="376"/>
    </row>
    <row r="35" spans="1:99" x14ac:dyDescent="0.25">
      <c r="B35" s="563"/>
      <c r="C35" s="14" t="s">
        <v>606</v>
      </c>
      <c r="D35" s="100"/>
      <c r="E35" s="101">
        <f>(SUM(FWY_Ref!I304:I323)+SUM(FWY_Ref!J256:J265))*5280</f>
        <v>0</v>
      </c>
      <c r="F35" s="395" t="s">
        <v>256</v>
      </c>
      <c r="G35" s="229">
        <f>FWY_Setup!F51</f>
        <v>10</v>
      </c>
      <c r="H35" s="229">
        <f t="shared" si="0"/>
        <v>0</v>
      </c>
      <c r="J35" s="694"/>
      <c r="K35" s="14" t="s">
        <v>567</v>
      </c>
      <c r="L35" s="476">
        <f>O26</f>
        <v>1.0080197758106508</v>
      </c>
      <c r="N35" s="13" t="s">
        <v>605</v>
      </c>
      <c r="O35" s="487">
        <f>IF(FWY_Ref!C123=1,1,0)</f>
        <v>0</v>
      </c>
      <c r="P35" s="7"/>
      <c r="Q35" s="13" t="s">
        <v>605</v>
      </c>
      <c r="R35" s="487">
        <f>IF(FWY_Ref!N13=1,1,0)</f>
        <v>0</v>
      </c>
      <c r="T35" s="407"/>
      <c r="U35" s="485"/>
      <c r="V35" s="7"/>
      <c r="W35" s="407"/>
      <c r="X35" s="485"/>
      <c r="Y35" s="7"/>
      <c r="Z35" s="853"/>
      <c r="AA35" s="852"/>
      <c r="AB35" s="7"/>
      <c r="AC35" s="853"/>
      <c r="AD35" s="852"/>
      <c r="AE35" s="7"/>
      <c r="AF35" s="853"/>
      <c r="AG35" s="852"/>
      <c r="AH35" s="7"/>
      <c r="AI35" s="853"/>
      <c r="AJ35" s="852"/>
      <c r="AK35" s="7"/>
      <c r="AL35" s="853"/>
      <c r="AM35" s="852"/>
      <c r="AN35" s="7"/>
      <c r="AO35" s="853"/>
      <c r="AP35" s="852"/>
      <c r="AQ35" s="7"/>
      <c r="AR35" s="853"/>
      <c r="AS35" s="852"/>
      <c r="AT35" s="7"/>
      <c r="AU35" s="853"/>
      <c r="AV35" s="852"/>
      <c r="AW35" s="7"/>
      <c r="AX35" s="853"/>
      <c r="AY35" s="852"/>
      <c r="AZ35" s="7"/>
      <c r="BA35" s="853"/>
      <c r="BB35" s="852"/>
      <c r="BC35" s="7"/>
      <c r="BD35" s="853"/>
      <c r="BE35" s="852"/>
      <c r="BF35" s="7"/>
      <c r="BG35" s="853"/>
      <c r="BH35" s="852"/>
      <c r="BI35" s="7"/>
      <c r="BJ35" s="853"/>
      <c r="BK35" s="852"/>
      <c r="BL35" s="7"/>
      <c r="BM35" s="853"/>
      <c r="BN35" s="852"/>
      <c r="BO35" s="7"/>
      <c r="BP35" s="853"/>
      <c r="BQ35" s="852"/>
      <c r="BR35" s="7"/>
      <c r="BS35" s="853"/>
      <c r="BT35" s="852"/>
      <c r="BU35" s="376"/>
      <c r="BV35" s="376"/>
      <c r="BW35" s="376"/>
      <c r="BX35" s="376"/>
      <c r="BY35" s="376"/>
      <c r="BZ35" s="376"/>
      <c r="CA35" s="376"/>
      <c r="CB35" s="376"/>
      <c r="CC35" s="376"/>
      <c r="CD35" s="376"/>
      <c r="CE35" s="376"/>
      <c r="CF35" s="376"/>
      <c r="CG35" s="376"/>
      <c r="CH35" s="376"/>
      <c r="CI35" s="376"/>
      <c r="CJ35" s="376"/>
      <c r="CK35" s="376"/>
      <c r="CL35" s="376"/>
      <c r="CM35" s="376"/>
      <c r="CN35" s="376"/>
      <c r="CO35" s="376"/>
      <c r="CP35" s="376"/>
      <c r="CQ35" s="376"/>
      <c r="CR35" s="376"/>
      <c r="CS35" s="376"/>
      <c r="CT35" s="376"/>
      <c r="CU35" s="376"/>
    </row>
    <row r="36" spans="1:99" x14ac:dyDescent="0.25">
      <c r="B36" s="523" t="s">
        <v>731</v>
      </c>
      <c r="C36" s="15" t="s">
        <v>732</v>
      </c>
      <c r="D36" s="70">
        <f>D9+D14</f>
        <v>0</v>
      </c>
      <c r="E36" s="101">
        <f>D36*FWY_Project!C5*5280/43560</f>
        <v>0</v>
      </c>
      <c r="F36" s="525" t="s">
        <v>733</v>
      </c>
      <c r="G36" s="524">
        <f>FWY_Ref!F204</f>
        <v>25000</v>
      </c>
      <c r="H36" s="229">
        <f>IF(FWY_Project!C120=TRUE,FWY_Calculations!E36*FWY_Calculations!G36,0)</f>
        <v>0</v>
      </c>
      <c r="J36" s="694"/>
      <c r="K36" s="14" t="s">
        <v>565</v>
      </c>
      <c r="L36" s="476">
        <f>O27</f>
        <v>1.0158530452071006</v>
      </c>
      <c r="N36" s="112" t="s">
        <v>604</v>
      </c>
      <c r="O36" s="487">
        <f>IF(FWY_Ref!G123=1,1,0)</f>
        <v>0</v>
      </c>
      <c r="P36" s="7"/>
      <c r="Q36" s="112" t="s">
        <v>604</v>
      </c>
      <c r="R36" s="487">
        <f>IF(FWY_Ref!N15=1,1,0)</f>
        <v>0</v>
      </c>
      <c r="T36" s="407"/>
      <c r="U36" s="485"/>
      <c r="V36" s="7"/>
      <c r="W36" s="407"/>
      <c r="X36" s="485"/>
      <c r="Y36" s="7"/>
      <c r="Z36" s="853"/>
      <c r="AA36" s="852"/>
      <c r="AB36" s="7"/>
      <c r="AC36" s="853"/>
      <c r="AD36" s="852"/>
      <c r="AE36" s="7"/>
      <c r="AF36" s="853"/>
      <c r="AG36" s="852"/>
      <c r="AH36" s="7"/>
      <c r="AI36" s="853"/>
      <c r="AJ36" s="852"/>
      <c r="AK36" s="7"/>
      <c r="AL36" s="853"/>
      <c r="AM36" s="852"/>
      <c r="AN36" s="7"/>
      <c r="AO36" s="853"/>
      <c r="AP36" s="852"/>
      <c r="AQ36" s="7"/>
      <c r="AR36" s="853"/>
      <c r="AS36" s="852"/>
      <c r="AT36" s="7"/>
      <c r="AU36" s="853"/>
      <c r="AV36" s="852"/>
      <c r="AW36" s="7"/>
      <c r="AX36" s="853"/>
      <c r="AY36" s="852"/>
      <c r="AZ36" s="7"/>
      <c r="BA36" s="853"/>
      <c r="BB36" s="852"/>
      <c r="BC36" s="7"/>
      <c r="BD36" s="853"/>
      <c r="BE36" s="852"/>
      <c r="BF36" s="7"/>
      <c r="BG36" s="853"/>
      <c r="BH36" s="852"/>
      <c r="BI36" s="7"/>
      <c r="BJ36" s="853"/>
      <c r="BK36" s="852"/>
      <c r="BL36" s="7"/>
      <c r="BM36" s="853"/>
      <c r="BN36" s="852"/>
      <c r="BO36" s="7"/>
      <c r="BP36" s="853"/>
      <c r="BQ36" s="852"/>
      <c r="BR36" s="7"/>
      <c r="BS36" s="853"/>
      <c r="BT36" s="852"/>
      <c r="BU36" s="376"/>
      <c r="BV36" s="376"/>
      <c r="BW36" s="376"/>
      <c r="BX36" s="376"/>
      <c r="BY36" s="376"/>
      <c r="BZ36" s="376"/>
      <c r="CA36" s="376"/>
      <c r="CB36" s="376"/>
      <c r="CC36" s="376"/>
      <c r="CD36" s="376"/>
      <c r="CE36" s="376"/>
      <c r="CF36" s="376"/>
      <c r="CG36" s="376"/>
      <c r="CH36" s="376"/>
      <c r="CI36" s="376"/>
      <c r="CJ36" s="376"/>
      <c r="CK36" s="376"/>
      <c r="CL36" s="376"/>
      <c r="CM36" s="376"/>
      <c r="CN36" s="376"/>
      <c r="CO36" s="376"/>
      <c r="CP36" s="376"/>
      <c r="CQ36" s="376"/>
      <c r="CR36" s="376"/>
      <c r="CS36" s="376"/>
      <c r="CT36" s="376"/>
      <c r="CU36" s="376"/>
    </row>
    <row r="37" spans="1:99" x14ac:dyDescent="0.25">
      <c r="J37" s="694"/>
      <c r="K37" s="14" t="s">
        <v>563</v>
      </c>
      <c r="L37" s="476">
        <f>O28</f>
        <v>1.0335245279526628</v>
      </c>
      <c r="N37" s="18" t="s">
        <v>533</v>
      </c>
      <c r="O37" s="486">
        <f>(1-O33)*O34+O33</f>
        <v>1</v>
      </c>
      <c r="P37" s="7"/>
      <c r="Q37" s="18" t="s">
        <v>533</v>
      </c>
      <c r="R37" s="486">
        <f>(1-R33)*R34+R33</f>
        <v>1</v>
      </c>
      <c r="T37" s="407"/>
      <c r="U37" s="485"/>
      <c r="V37" s="7"/>
      <c r="W37" s="407"/>
      <c r="X37" s="485"/>
      <c r="Y37" s="7"/>
      <c r="Z37" s="853"/>
      <c r="AA37" s="852"/>
      <c r="AB37" s="7"/>
      <c r="AC37" s="853"/>
      <c r="AD37" s="852"/>
      <c r="AE37" s="7"/>
      <c r="AF37" s="853"/>
      <c r="AG37" s="852"/>
      <c r="AH37" s="7"/>
      <c r="AI37" s="853"/>
      <c r="AJ37" s="852"/>
      <c r="AK37" s="7"/>
      <c r="AL37" s="853"/>
      <c r="AM37" s="852"/>
      <c r="AN37" s="7"/>
      <c r="AO37" s="853"/>
      <c r="AP37" s="852"/>
      <c r="AQ37" s="7"/>
      <c r="AR37" s="853"/>
      <c r="AS37" s="852"/>
      <c r="AT37" s="7"/>
      <c r="AU37" s="853"/>
      <c r="AV37" s="852"/>
      <c r="AW37" s="7"/>
      <c r="AX37" s="853"/>
      <c r="AY37" s="852"/>
      <c r="AZ37" s="7"/>
      <c r="BA37" s="853"/>
      <c r="BB37" s="852"/>
      <c r="BC37" s="7"/>
      <c r="BD37" s="853"/>
      <c r="BE37" s="852"/>
      <c r="BF37" s="7"/>
      <c r="BG37" s="853"/>
      <c r="BH37" s="852"/>
      <c r="BI37" s="7"/>
      <c r="BJ37" s="853"/>
      <c r="BK37" s="852"/>
      <c r="BL37" s="7"/>
      <c r="BM37" s="853"/>
      <c r="BN37" s="852"/>
      <c r="BO37" s="7"/>
      <c r="BP37" s="853"/>
      <c r="BQ37" s="852"/>
      <c r="BR37" s="7"/>
      <c r="BS37" s="853"/>
      <c r="BT37" s="852"/>
      <c r="BU37" s="376"/>
      <c r="BV37" s="376"/>
      <c r="BW37" s="376"/>
      <c r="BX37" s="376"/>
      <c r="BY37" s="376"/>
      <c r="BZ37" s="376"/>
      <c r="CA37" s="376"/>
      <c r="CB37" s="376"/>
      <c r="CC37" s="376"/>
      <c r="CD37" s="376"/>
      <c r="CE37" s="376"/>
      <c r="CF37" s="376"/>
      <c r="CG37" s="376"/>
      <c r="CH37" s="376"/>
      <c r="CI37" s="376"/>
      <c r="CJ37" s="376"/>
      <c r="CK37" s="376"/>
      <c r="CL37" s="376"/>
      <c r="CM37" s="376"/>
      <c r="CN37" s="376"/>
      <c r="CO37" s="376"/>
      <c r="CP37" s="376"/>
      <c r="CQ37" s="376"/>
      <c r="CR37" s="376"/>
      <c r="CS37" s="376"/>
      <c r="CT37" s="376"/>
      <c r="CU37" s="376"/>
    </row>
    <row r="38" spans="1:99" ht="14.45" customHeight="1" x14ac:dyDescent="0.25">
      <c r="J38" s="694"/>
      <c r="K38" s="14" t="s">
        <v>561</v>
      </c>
      <c r="L38" s="476">
        <f>O29</f>
        <v>1.0291882538224852</v>
      </c>
      <c r="N38" s="407"/>
      <c r="O38" s="26"/>
      <c r="P38" s="7"/>
      <c r="Q38" s="407"/>
      <c r="R38" s="26"/>
      <c r="T38" s="407"/>
      <c r="U38" s="26"/>
      <c r="V38" s="7"/>
      <c r="W38" s="407"/>
      <c r="X38" s="26"/>
      <c r="Y38" s="7"/>
      <c r="Z38" s="853"/>
      <c r="AA38" s="625"/>
      <c r="AB38" s="7"/>
      <c r="AC38" s="853"/>
      <c r="AD38" s="625"/>
      <c r="AE38" s="7"/>
      <c r="AF38" s="853"/>
      <c r="AG38" s="625"/>
      <c r="AH38" s="7"/>
      <c r="AI38" s="853"/>
      <c r="AJ38" s="625"/>
      <c r="AK38" s="7"/>
      <c r="AL38" s="853"/>
      <c r="AM38" s="625"/>
      <c r="AN38" s="7"/>
      <c r="AO38" s="853"/>
      <c r="AP38" s="625"/>
      <c r="AQ38" s="7"/>
      <c r="AR38" s="853"/>
      <c r="AS38" s="625"/>
      <c r="AT38" s="7"/>
      <c r="AU38" s="853"/>
      <c r="AV38" s="625"/>
      <c r="AW38" s="7"/>
      <c r="AX38" s="853"/>
      <c r="AY38" s="625"/>
      <c r="AZ38" s="7"/>
      <c r="BA38" s="853"/>
      <c r="BB38" s="625"/>
      <c r="BC38" s="7"/>
      <c r="BD38" s="853"/>
      <c r="BE38" s="625"/>
      <c r="BF38" s="7"/>
      <c r="BG38" s="853"/>
      <c r="BH38" s="625"/>
      <c r="BI38" s="7"/>
      <c r="BJ38" s="853"/>
      <c r="BK38" s="625"/>
      <c r="BL38" s="7"/>
      <c r="BM38" s="853"/>
      <c r="BN38" s="625"/>
      <c r="BO38" s="7"/>
      <c r="BP38" s="853"/>
      <c r="BQ38" s="625"/>
      <c r="BR38" s="7"/>
      <c r="BS38" s="853"/>
      <c r="BT38" s="625"/>
      <c r="BU38" s="376"/>
      <c r="BV38" s="376"/>
      <c r="BW38" s="376"/>
      <c r="BX38" s="376"/>
      <c r="BY38" s="376"/>
      <c r="BZ38" s="376"/>
      <c r="CA38" s="376"/>
      <c r="CB38" s="376"/>
      <c r="CC38" s="376"/>
      <c r="CD38" s="376"/>
      <c r="CE38" s="376"/>
      <c r="CF38" s="376"/>
      <c r="CG38" s="376"/>
      <c r="CH38" s="376"/>
      <c r="CI38" s="376"/>
      <c r="CJ38" s="376"/>
      <c r="CK38" s="376"/>
      <c r="CL38" s="376"/>
      <c r="CM38" s="376"/>
      <c r="CN38" s="376"/>
      <c r="CO38" s="376"/>
      <c r="CP38" s="376"/>
      <c r="CQ38" s="376"/>
      <c r="CR38" s="376"/>
      <c r="CS38" s="376"/>
      <c r="CT38" s="376"/>
      <c r="CU38" s="376"/>
    </row>
    <row r="39" spans="1:99" x14ac:dyDescent="0.25">
      <c r="J39" s="694"/>
      <c r="K39" s="14" t="s">
        <v>559</v>
      </c>
      <c r="L39" s="476">
        <f>O37</f>
        <v>1</v>
      </c>
      <c r="N39" s="123"/>
      <c r="O39" s="124"/>
      <c r="P39" s="7"/>
      <c r="Q39" s="123"/>
      <c r="R39" s="124"/>
      <c r="T39" s="123"/>
      <c r="U39" s="124"/>
      <c r="V39" s="7"/>
      <c r="W39" s="123"/>
      <c r="X39" s="124"/>
      <c r="Y39" s="7"/>
      <c r="Z39" s="123"/>
      <c r="AA39" s="124"/>
      <c r="AB39" s="7"/>
      <c r="AC39" s="123"/>
      <c r="AD39" s="124"/>
      <c r="AE39" s="7"/>
      <c r="AF39" s="123"/>
      <c r="AG39" s="124"/>
      <c r="AH39" s="7"/>
      <c r="AI39" s="123"/>
      <c r="AJ39" s="124"/>
      <c r="AK39" s="7"/>
      <c r="AL39" s="123"/>
      <c r="AM39" s="124"/>
      <c r="AN39" s="7"/>
      <c r="AO39" s="123"/>
      <c r="AP39" s="124"/>
      <c r="AQ39" s="7"/>
      <c r="AR39" s="123"/>
      <c r="AS39" s="124"/>
      <c r="AT39" s="7"/>
      <c r="AU39" s="123"/>
      <c r="AV39" s="124"/>
      <c r="AW39" s="7"/>
      <c r="AX39" s="123"/>
      <c r="AY39" s="124"/>
      <c r="AZ39" s="7"/>
      <c r="BA39" s="123"/>
      <c r="BB39" s="124"/>
      <c r="BC39" s="7"/>
      <c r="BD39" s="123"/>
      <c r="BE39" s="124"/>
      <c r="BF39" s="7"/>
      <c r="BG39" s="123"/>
      <c r="BH39" s="124"/>
      <c r="BI39" s="7"/>
      <c r="BJ39" s="123"/>
      <c r="BK39" s="124"/>
      <c r="BL39" s="7"/>
      <c r="BM39" s="123"/>
      <c r="BN39" s="124"/>
      <c r="BO39" s="7"/>
      <c r="BP39" s="123"/>
      <c r="BQ39" s="124"/>
      <c r="BR39" s="7"/>
      <c r="BS39" s="123"/>
      <c r="BT39" s="124"/>
      <c r="BU39" s="376"/>
      <c r="BV39" s="376"/>
      <c r="BW39" s="376"/>
      <c r="BX39" s="376"/>
      <c r="BY39" s="376"/>
      <c r="BZ39" s="376"/>
      <c r="CA39" s="376"/>
      <c r="CB39" s="376"/>
      <c r="CC39" s="376"/>
      <c r="CD39" s="376"/>
      <c r="CE39" s="376"/>
      <c r="CF39" s="376"/>
      <c r="CG39" s="376"/>
      <c r="CH39" s="376"/>
      <c r="CI39" s="376"/>
      <c r="CJ39" s="376"/>
      <c r="CK39" s="376"/>
      <c r="CL39" s="376"/>
      <c r="CM39" s="376"/>
      <c r="CN39" s="376"/>
      <c r="CO39" s="376"/>
      <c r="CP39" s="376"/>
      <c r="CQ39" s="376"/>
      <c r="CR39" s="376"/>
      <c r="CS39" s="376"/>
      <c r="CT39" s="376"/>
      <c r="CU39" s="376"/>
    </row>
    <row r="40" spans="1:99" x14ac:dyDescent="0.25">
      <c r="J40" s="694" t="s">
        <v>603</v>
      </c>
      <c r="K40" s="14" t="s">
        <v>556</v>
      </c>
      <c r="L40" s="476">
        <f>-0.171-0.388*($O$43+$O$82)/2-0.924*$O$61+0.387*($O$35+$O$36)/2+0.208*$O$33-0.261*$O$5+0.492*IF(FWY_Ref!$D$133=1,1,0)</f>
        <v>-2.7798000000000003</v>
      </c>
    </row>
    <row r="41" spans="1:99" x14ac:dyDescent="0.25">
      <c r="J41" s="694"/>
      <c r="K41" s="14" t="s">
        <v>554</v>
      </c>
      <c r="L41" s="476">
        <f>-2.393-0.325*($O$43+$O$82)/2-0.853*$O$61+0.391*($O$35+$O$36)/2+0.243*$O$33-0*$O$5+0.43*IF(FWY_Ref!$D$133=1,1,0)</f>
        <v>-1.92655</v>
      </c>
      <c r="N41" s="565" t="s">
        <v>602</v>
      </c>
      <c r="O41" s="565"/>
      <c r="P41" s="565"/>
      <c r="Q41" s="565"/>
      <c r="R41" s="565"/>
    </row>
    <row r="42" spans="1:99" x14ac:dyDescent="0.25">
      <c r="B42" s="425"/>
      <c r="C42" s="26"/>
      <c r="D42" s="484"/>
      <c r="E42" s="483"/>
      <c r="F42" s="394"/>
      <c r="G42" s="479"/>
      <c r="H42" s="479"/>
      <c r="J42" s="694"/>
      <c r="K42" s="14" t="s">
        <v>552</v>
      </c>
      <c r="L42" s="476">
        <f>0.0732-0.25*($O$43+$O$82)/2-0.872*$O$61+0.135*($O$35+$O$36)/2+0.131*$O$33-0.0464*$O$5+0.208*IF(FWY_Ref!$D$133=1,1,0)</f>
        <v>-0.25595000000000001</v>
      </c>
      <c r="N42" s="691" t="s">
        <v>129</v>
      </c>
      <c r="O42" s="691"/>
      <c r="Q42" s="691" t="s">
        <v>130</v>
      </c>
      <c r="R42" s="691"/>
      <c r="W42" s="122"/>
    </row>
    <row r="43" spans="1:99" x14ac:dyDescent="0.25">
      <c r="D43" s="484"/>
      <c r="E43" s="483"/>
      <c r="F43" s="394"/>
      <c r="G43" s="479"/>
      <c r="H43" s="479"/>
      <c r="J43" s="694"/>
      <c r="K43" s="14" t="s">
        <v>551</v>
      </c>
      <c r="L43" s="476">
        <f>EXP(L40)/(1/$L$88+EXP(FWY_Calculations!$L$40)+EXP(FWY_Calculations!$L$41)+EXP(FWY_Calculations!$L$42))</f>
        <v>3.1309096378737626E-2</v>
      </c>
      <c r="N43" s="13" t="s">
        <v>594</v>
      </c>
      <c r="O43" s="1">
        <f>VLOOKUP(FWY_Project!$C$105,FWY_Ref!$A$249:$C$252,3)</f>
        <v>0</v>
      </c>
      <c r="Q43" s="13" t="s">
        <v>594</v>
      </c>
      <c r="R43" s="1">
        <f>IF(FWY_Ref!$J$11=TRUE,VLOOKUP(FWY_Ref!$A$274,FWY_Ref!$A$298:$C$300,3),VLOOKUP(FWY_Project!$C$105,FWY_Ref!$A$249:$E$252,5))</f>
        <v>0</v>
      </c>
    </row>
    <row r="44" spans="1:99" x14ac:dyDescent="0.25">
      <c r="B44" s="24" t="s">
        <v>291</v>
      </c>
      <c r="C44" s="230">
        <f>SUM(H7:H51)</f>
        <v>937728</v>
      </c>
      <c r="H44" s="479"/>
      <c r="J44" s="694"/>
      <c r="K44" s="14" t="s">
        <v>549</v>
      </c>
      <c r="L44" s="476">
        <f>EXP(L41)/(1/$L$88+EXP(FWY_Calculations!$L$40)+EXP(FWY_Calculations!$L$41)+EXP(FWY_Calculations!$L$42))</f>
        <v>7.349068580546915E-2</v>
      </c>
      <c r="N44" s="112" t="s">
        <v>592</v>
      </c>
      <c r="O44" s="1">
        <f>VLOOKUP(FWY_Project!$C$105,FWY_Ref!$A$249:$C$252,2)</f>
        <v>0</v>
      </c>
      <c r="Q44" s="112" t="s">
        <v>592</v>
      </c>
      <c r="R44" s="1">
        <f>IF(FWY_Ref!$J$11=TRUE,VLOOKUP(FWY_Ref!$A$274,FWY_Ref!$A$298:$C$300,2),VLOOKUP(FWY_Project!$C$105,FWY_Ref!$A$249:$E$252,4))</f>
        <v>0</v>
      </c>
    </row>
    <row r="45" spans="1:99" x14ac:dyDescent="0.25">
      <c r="B45" s="24" t="s">
        <v>290</v>
      </c>
      <c r="C45" s="230">
        <f>IF(FWY_Setup!F104=20,SUM(FWY_Calculations!H7:H21),IF(FWY_Setup!F104=10,SUM(FWY_Calculations!H7:H21)+SUM(FWY_Calculations!H7:H21)*(1+FWY_Setup!F102)^(-10),SUM(FWY_Calculations!H7:H21)+SUM(FWY_Calculations!H7:H21)*(1+FWY_Setup!F102)^(-5)+SUM(FWY_Calculations!H7:H21)*(1+FWY_Setup!F102)^(-10)+SUM(FWY_Calculations!H7:H21)*(1+FWY_Setup!F102)^(-15)))+IF(FWY_Setup!F106=20,SUM(FWY_Calculations!H22:H23),IF(FWY_Setup!F106=10,SUM(FWY_Calculations!H22:H23)+SUM(FWY_Calculations!H22:H23)*(1+FWY_Setup!F102)^(-10),SUM(FWY_Calculations!H22:H23)+SUM(FWY_Calculations!H22:H23)*(1+FWY_Setup!F102)^(-5)+SUM(FWY_Calculations!H22:H23)*(1+FWY_Setup!F102)^(-10)+SUM(FWY_Calculations!H22:H23)*(1+FWY_Setup!F102)^(-15)))+IF(FWY_Setup!F107=20,H24+H27+H30+H33,IF(FWY_Setup!F107=10,H24+H27+H30+H33+(H24+H27+H30+H33)*(1+FWY_Setup!F102)^(-10),H24+H27+H30+H33+(H24+H27+H30+H33)*(1+FWY_Setup!F102)^(-5)+(H24+H27+H30+H33)*(1+FWY_Setup!F102)^(-10)+(H24+H27+H30+H33)*(1+FWY_Setup!F102)^(-15)))+IF(FWY_Setup!F108=20,H25+H28+H31+H34,IF(FWY_Setup!F108=10,(H25+H28+H31+H34)+(H25+H28+H31+H34)*(1+FWY_Setup!F102)^(-10),(H25+H28+H31+H34)+(H25+H28+H31+H34)*(1+FWY_Setup!F102)^(-5)+(H25+H28+H31+H34)*(1+FWY_Setup!F102)^(-10)+(H25+H28+H31+H34)*(1+FWY_Setup!F102)^(-15)))+IF(FWY_Setup!F109=20,H26+H29+H32+H35,IF(FWY_Setup!F109=10,(H26+H29+H32+H35)+(H26+H29+H32+H35)*(1+FWY_Setup!F102)^(-10),(H26+H29+H32+H35)+(H26+H29+H32+H35)*(1+FWY_Setup!F102)^(-5)+(H26+H29+H32+H35)*(1+FWY_Setup!F102)^(-10)+(H26+H29+H32+H35)*(1+FWY_Setup!F102)^(-15)))</f>
        <v>937728</v>
      </c>
      <c r="H45" s="479"/>
      <c r="J45" s="694"/>
      <c r="K45" s="14" t="s">
        <v>548</v>
      </c>
      <c r="L45" s="476">
        <f>EXP(L42)/(1/$L$88+EXP(FWY_Calculations!$L$40)+EXP(FWY_Calculations!$L$41)+EXP(FWY_Calculations!$L$42))</f>
        <v>0.39062916172641959</v>
      </c>
      <c r="N45" s="18" t="s">
        <v>564</v>
      </c>
      <c r="O45" s="81">
        <f>(1-O$43)*1+O$43*IF(O$44=0,0,EXP(0.131/O$44))</f>
        <v>1</v>
      </c>
      <c r="P45" s="2"/>
      <c r="Q45" s="18" t="s">
        <v>564</v>
      </c>
      <c r="R45" s="81">
        <f>(1-R$43)*1+R$43*IF(R$44=0,0,EXP(0.131/R$44))</f>
        <v>1</v>
      </c>
      <c r="S45" s="10"/>
    </row>
    <row r="46" spans="1:99" x14ac:dyDescent="0.25">
      <c r="B46" s="7"/>
      <c r="C46" s="376"/>
      <c r="H46" s="479"/>
      <c r="J46" s="694"/>
      <c r="K46" s="14" t="s">
        <v>547</v>
      </c>
      <c r="L46" s="476">
        <f>1-SUM(L43:L45)</f>
        <v>0.50457105608937369</v>
      </c>
      <c r="N46" s="18" t="s">
        <v>553</v>
      </c>
      <c r="O46" s="81">
        <f>(1-O$43)*1+O$43*IF(O$44=0,0,EXP(0.169/O$44))</f>
        <v>1</v>
      </c>
      <c r="P46" s="477"/>
      <c r="Q46" s="18" t="s">
        <v>553</v>
      </c>
      <c r="R46" s="81">
        <f>(1-R$43)*1+R$43*IF(R$44=0,0,EXP(0.169/R$44))</f>
        <v>1</v>
      </c>
    </row>
    <row r="47" spans="1:99" x14ac:dyDescent="0.25">
      <c r="D47" s="388" t="s">
        <v>33</v>
      </c>
      <c r="E47" s="388" t="s">
        <v>295</v>
      </c>
      <c r="F47" s="565" t="s">
        <v>294</v>
      </c>
      <c r="G47" s="565"/>
      <c r="H47" s="479"/>
      <c r="J47" s="694" t="s">
        <v>110</v>
      </c>
      <c r="K47" s="14" t="s">
        <v>601</v>
      </c>
      <c r="L47" s="110">
        <f>R6</f>
        <v>1</v>
      </c>
      <c r="N47" s="18" t="s">
        <v>533</v>
      </c>
      <c r="O47" s="81">
        <f>(1-O$43)*1+O$43*IF(O$44=0,0,EXP(0.131/O$44))</f>
        <v>1</v>
      </c>
      <c r="P47" s="482"/>
      <c r="Q47" s="18" t="s">
        <v>533</v>
      </c>
      <c r="R47" s="81">
        <f>(1-R$43)*1+R$43*IF(R$44=0,0,EXP(0.131/R$44))</f>
        <v>1</v>
      </c>
    </row>
    <row r="48" spans="1:99" x14ac:dyDescent="0.25">
      <c r="B48" s="695" t="s">
        <v>92</v>
      </c>
      <c r="C48" s="20" t="s">
        <v>29</v>
      </c>
      <c r="D48" s="62">
        <f>FWY_Ref!Q57</f>
        <v>8.9999999999999993E-3</v>
      </c>
      <c r="E48" s="230">
        <f>D48*$C$44</f>
        <v>8439.5519999999997</v>
      </c>
      <c r="F48" s="698">
        <f>D48*$C$45</f>
        <v>8439.5519999999997</v>
      </c>
      <c r="G48" s="699"/>
      <c r="H48" s="479"/>
      <c r="J48" s="694"/>
      <c r="K48" s="14" t="s">
        <v>600</v>
      </c>
      <c r="L48" s="110">
        <f>R7</f>
        <v>1</v>
      </c>
      <c r="N48" s="18" t="s">
        <v>543</v>
      </c>
      <c r="O48" s="81">
        <f>(1-O$43)*1+O$43*IF(O$44=0,0,EXP(0.169/O$44))</f>
        <v>1</v>
      </c>
      <c r="P48" s="482"/>
      <c r="Q48" s="18" t="s">
        <v>543</v>
      </c>
      <c r="R48" s="81">
        <f>(1-R$43)*1+R$43*IF(R$44=0,0,EXP(0.169/R$44))</f>
        <v>1</v>
      </c>
    </row>
    <row r="49" spans="2:19" x14ac:dyDescent="0.25">
      <c r="B49" s="695"/>
      <c r="C49" s="20" t="s">
        <v>30</v>
      </c>
      <c r="D49" s="62">
        <f>FWY_Ref!Q58</f>
        <v>3.0000000000000001E-3</v>
      </c>
      <c r="E49" s="230">
        <f>D49*$C$44</f>
        <v>2813.1840000000002</v>
      </c>
      <c r="F49" s="698">
        <f>D49*$C$45</f>
        <v>2813.1840000000002</v>
      </c>
      <c r="G49" s="699"/>
      <c r="H49" s="479"/>
      <c r="J49" s="694"/>
      <c r="K49" s="14" t="s">
        <v>599</v>
      </c>
      <c r="L49" s="110">
        <f>R12</f>
        <v>1.0712219433338122</v>
      </c>
      <c r="N49" s="481"/>
      <c r="O49" s="480"/>
      <c r="P49" s="7"/>
      <c r="Q49" s="481"/>
      <c r="R49" s="480"/>
    </row>
    <row r="50" spans="2:19" x14ac:dyDescent="0.25">
      <c r="B50" s="695"/>
      <c r="C50" s="20" t="s">
        <v>31</v>
      </c>
      <c r="D50" s="62">
        <f>FWY_Ref!Q59</f>
        <v>0.08</v>
      </c>
      <c r="E50" s="230">
        <f>D50*$C$44</f>
        <v>75018.240000000005</v>
      </c>
      <c r="F50" s="698">
        <f>D50*$C$45</f>
        <v>75018.240000000005</v>
      </c>
      <c r="G50" s="699"/>
      <c r="H50" s="479"/>
      <c r="J50" s="694"/>
      <c r="K50" s="14" t="s">
        <v>598</v>
      </c>
      <c r="L50" s="110">
        <f>R13</f>
        <v>1.0631115152294282</v>
      </c>
      <c r="N50" s="565" t="s">
        <v>597</v>
      </c>
      <c r="O50" s="565"/>
      <c r="P50" s="565"/>
      <c r="Q50" s="565"/>
      <c r="R50" s="565"/>
    </row>
    <row r="51" spans="2:19" x14ac:dyDescent="0.25">
      <c r="B51" s="695"/>
      <c r="C51" s="20" t="s">
        <v>99</v>
      </c>
      <c r="D51" s="62">
        <f>FWY_Ref!Q60</f>
        <v>0.05</v>
      </c>
      <c r="E51" s="230">
        <f>D51*$C$44</f>
        <v>46886.400000000001</v>
      </c>
      <c r="F51" s="698">
        <f>D51*$C$45</f>
        <v>46886.400000000001</v>
      </c>
      <c r="G51" s="699"/>
      <c r="H51" s="479"/>
      <c r="J51" s="694"/>
      <c r="K51" s="14" t="s">
        <v>596</v>
      </c>
      <c r="L51" s="110">
        <f>R14</f>
        <v>1.0712219433338122</v>
      </c>
      <c r="N51" s="691" t="s">
        <v>129</v>
      </c>
      <c r="O51" s="691"/>
      <c r="Q51" s="691" t="s">
        <v>130</v>
      </c>
      <c r="R51" s="691"/>
    </row>
    <row r="52" spans="2:19" x14ac:dyDescent="0.25">
      <c r="B52" s="695"/>
      <c r="C52" s="20" t="s">
        <v>482</v>
      </c>
      <c r="D52" s="62">
        <f>FWY_Ref!Q61</f>
        <v>0</v>
      </c>
      <c r="E52" s="230">
        <f>D52*$C$44</f>
        <v>0</v>
      </c>
      <c r="F52" s="698">
        <f>D52*$C$45</f>
        <v>0</v>
      </c>
      <c r="G52" s="699"/>
      <c r="J52" s="694"/>
      <c r="K52" s="14" t="s">
        <v>595</v>
      </c>
      <c r="L52" s="110">
        <f>R15</f>
        <v>1.0631115152294282</v>
      </c>
      <c r="N52" s="13" t="s">
        <v>594</v>
      </c>
      <c r="O52" s="1">
        <f>VLOOKUP(FWY_Project!$C$105,FWY_Ref!$A$249:$C$252,3)</f>
        <v>0</v>
      </c>
      <c r="Q52" s="13" t="s">
        <v>594</v>
      </c>
      <c r="R52" s="1">
        <f>IF(FWY_Ref!$J$11=TRUE,VLOOKUP(FWY_Ref!$A$274,FWY_Ref!$A$298:$C$300,3),VLOOKUP(FWY_Project!$C$105,FWY_Ref!$A$249:$E$252,5))</f>
        <v>0</v>
      </c>
    </row>
    <row r="53" spans="2:19" x14ac:dyDescent="0.25">
      <c r="B53" s="118"/>
      <c r="J53" s="694"/>
      <c r="K53" s="14" t="s">
        <v>593</v>
      </c>
      <c r="L53" s="110">
        <f>R21</f>
        <v>1.3158100660084324</v>
      </c>
      <c r="N53" s="13" t="s">
        <v>592</v>
      </c>
      <c r="O53" s="1">
        <f>VLOOKUP(FWY_Project!$C$105,FWY_Ref!$A$249:$C$252,2)</f>
        <v>0</v>
      </c>
      <c r="Q53" s="13" t="s">
        <v>592</v>
      </c>
      <c r="R53" s="1">
        <f>IF(FWY_Ref!$J$11=TRUE,VLOOKUP(FWY_Ref!$A$274,FWY_Ref!$A$298:$C$300,2),VLOOKUP(FWY_Project!$C$105,FWY_Ref!$A$249:$E$252,4))</f>
        <v>0</v>
      </c>
    </row>
    <row r="54" spans="2:19" x14ac:dyDescent="0.25">
      <c r="B54" s="24" t="s">
        <v>292</v>
      </c>
      <c r="C54" s="230">
        <f>C44+SUM($E$48:$E$52)</f>
        <v>1070885.3759999999</v>
      </c>
      <c r="J54" s="694"/>
      <c r="K54" s="14" t="s">
        <v>591</v>
      </c>
      <c r="L54" s="110">
        <f>R22</f>
        <v>1.0599008537216394</v>
      </c>
      <c r="N54" s="18" t="s">
        <v>564</v>
      </c>
      <c r="O54" s="81">
        <f>(1-O$52)*EXP(-0.00302*(FWY_Project!$C$20-2*FWY_Ref!$E$112-48))+FWY_Calculations!O$52*EXP(-0.00302*(2*FWY_Calculations!O$53-48))</f>
        <v>1.0686968403410602</v>
      </c>
      <c r="Q54" s="18" t="s">
        <v>564</v>
      </c>
      <c r="R54" s="81">
        <f>(1-R$52)*EXP(-0.00302*(FWY_Project!$C$20-2*FWY_Ref!$N$9-48))+FWY_Calculations!R$52*EXP(-0.00302*(2*FWY_Calculations!R$53-48))</f>
        <v>1.0686968403410602</v>
      </c>
    </row>
    <row r="55" spans="2:19" ht="15" customHeight="1" x14ac:dyDescent="0.25">
      <c r="B55" s="24" t="s">
        <v>293</v>
      </c>
      <c r="C55" s="230">
        <f>C45+SUM($F$48:$F$52)</f>
        <v>1070885.3759999999</v>
      </c>
      <c r="J55" s="694"/>
      <c r="K55" s="14" t="s">
        <v>590</v>
      </c>
      <c r="L55" s="110">
        <f>R45</f>
        <v>1</v>
      </c>
      <c r="N55" s="18" t="s">
        <v>553</v>
      </c>
      <c r="O55" s="81">
        <f>(1-O$52)*EXP(-0.00291*(FWY_Project!$C$20-2*FWY_Ref!$E$112-48))+FWY_Calculations!O$52*EXP(-0.00291*(2*FWY_Calculations!O$53-48))</f>
        <v>1.0661137208227003</v>
      </c>
      <c r="Q55" s="18" t="s">
        <v>553</v>
      </c>
      <c r="R55" s="81">
        <f>(1-R$52)*EXP(-0.00291*(FWY_Project!$C$20-2*FWY_Ref!$N$9-48))+FWY_Calculations!R$52*EXP(-0.00291*(2*FWY_Calculations!R$53-48))</f>
        <v>1.0661137208227003</v>
      </c>
    </row>
    <row r="56" spans="2:19" x14ac:dyDescent="0.25">
      <c r="B56" s="5"/>
      <c r="J56" s="694"/>
      <c r="K56" s="14" t="s">
        <v>589</v>
      </c>
      <c r="L56" s="110">
        <f>R46</f>
        <v>1</v>
      </c>
      <c r="N56" s="18" t="s">
        <v>533</v>
      </c>
      <c r="O56" s="81">
        <f>(1-O$52)*EXP(0.00102*(FWY_Project!$C$20-2*FWY_Ref!$E$112-48))+FWY_Calculations!O$52*EXP(0.00102*(2*FWY_Calculations!O$53-48))</f>
        <v>0.97780990402755541</v>
      </c>
      <c r="Q56" s="18" t="s">
        <v>533</v>
      </c>
      <c r="R56" s="81">
        <f>(1-R$52)*EXP(0.00102*(FWY_Project!$C$20-2*FWY_Ref!$N$9-48))+FWY_Calculations!R$52*EXP(0.00102*(2*FWY_Calculations!R$53-48))</f>
        <v>0.97780990402755541</v>
      </c>
    </row>
    <row r="57" spans="2:19" x14ac:dyDescent="0.25">
      <c r="B57" s="23" t="s">
        <v>296</v>
      </c>
      <c r="C57" s="230">
        <f>C54-$H$7-$H$8-$H$12-$H$13-$H$16-$H$17-$E$51-SUM(D48:D50,D52)*SUM(H7:H8,H12:H13,H16:H17)+H36</f>
        <v>-5.8207660913467407E-11</v>
      </c>
      <c r="J57" s="694"/>
      <c r="K57" s="14" t="s">
        <v>588</v>
      </c>
      <c r="L57" s="110">
        <f>R47</f>
        <v>1</v>
      </c>
      <c r="N57" s="18" t="s">
        <v>543</v>
      </c>
      <c r="O57" s="81">
        <f>(1-O$52)*EXP(-0.00289*(FWY_Project!$C$20-2*FWY_Ref!$E$112-48))+FWY_Calculations!O$52*EXP(-0.00289*(2*FWY_Calculations!O$53-48))</f>
        <v>1.0656447339702122</v>
      </c>
      <c r="P57" s="477"/>
      <c r="Q57" s="18" t="s">
        <v>543</v>
      </c>
      <c r="R57" s="81">
        <f>(1-R$52)*EXP(-0.00289*(FWY_Project!$C$20-2*FWY_Ref!$N$9-48))+FWY_Calculations!R$52*EXP(-0.00289*(2*FWY_Calculations!R$53-48))</f>
        <v>1.0656447339702122</v>
      </c>
    </row>
    <row r="58" spans="2:19" x14ac:dyDescent="0.25">
      <c r="B58" s="23" t="s">
        <v>297</v>
      </c>
      <c r="C58" s="230">
        <f>C55-$H$7-$H$8-H12-H13-H16-H17-$F$51-SUM(D48:D50,D52)*(IF(FWY_Setup!F104=20,SUM(H7:H8,H12:H13,H16:H17),IF(FWY_Setup!F104=10,SUM(H7:H8,H12:H13,H16:H17)+SUM(H7:H8,H12:H13,H16:H17)*(1+FWY_Setup!F102)^(-10),SUM(H7:H8,H12:H13,H16:H17)+SUM(H7:H8,H12:H13,H16:H17)*(1+FWY_Setup!F102)^(-5)+SUM(H7:H8,H12:H13,H16:H17)*(1+FWY_Setup!F102)^(-10)+SUM(H7:H8,H12:H13,H16:H17)*(1+FWY_Setup!F102)^(-15))))+H36</f>
        <v>-5.8207660913467407E-11</v>
      </c>
      <c r="J58" s="694"/>
      <c r="K58" s="14" t="s">
        <v>587</v>
      </c>
      <c r="L58" s="110">
        <f>R48</f>
        <v>1</v>
      </c>
      <c r="N58" s="700"/>
      <c r="O58" s="701"/>
      <c r="P58" s="376"/>
      <c r="Q58" s="26"/>
      <c r="R58" s="478"/>
      <c r="S58" s="376"/>
    </row>
    <row r="59" spans="2:19" x14ac:dyDescent="0.25">
      <c r="B59" t="s">
        <v>231</v>
      </c>
      <c r="J59" s="694"/>
      <c r="K59" s="14" t="s">
        <v>586</v>
      </c>
      <c r="L59" s="110">
        <f>R54</f>
        <v>1.0686968403410602</v>
      </c>
      <c r="N59" s="565" t="s">
        <v>585</v>
      </c>
      <c r="O59" s="565"/>
      <c r="P59" s="565"/>
      <c r="Q59" s="565"/>
      <c r="R59" s="565"/>
    </row>
    <row r="60" spans="2:19" x14ac:dyDescent="0.25">
      <c r="J60" s="694"/>
      <c r="K60" s="14" t="s">
        <v>584</v>
      </c>
      <c r="L60" s="110">
        <f>R55</f>
        <v>1.0661137208227003</v>
      </c>
      <c r="N60" s="691" t="s">
        <v>129</v>
      </c>
      <c r="O60" s="691"/>
      <c r="Q60" s="691" t="s">
        <v>130</v>
      </c>
      <c r="R60" s="691"/>
    </row>
    <row r="61" spans="2:19" x14ac:dyDescent="0.25">
      <c r="J61" s="694"/>
      <c r="K61" s="14" t="s">
        <v>583</v>
      </c>
      <c r="L61" s="110">
        <f>R56</f>
        <v>0.97780990402755541</v>
      </c>
      <c r="N61" s="13" t="s">
        <v>582</v>
      </c>
      <c r="O61" s="62">
        <f>FWY_Project!$C$27</f>
        <v>0</v>
      </c>
      <c r="Q61" s="13" t="s">
        <v>582</v>
      </c>
      <c r="R61" s="62">
        <f>FWY_Project!$C$27</f>
        <v>0</v>
      </c>
    </row>
    <row r="62" spans="2:19" x14ac:dyDescent="0.25">
      <c r="J62" s="694"/>
      <c r="K62" s="14" t="s">
        <v>581</v>
      </c>
      <c r="L62" s="110">
        <f>R57</f>
        <v>1.0656447339702122</v>
      </c>
      <c r="N62" s="18" t="s">
        <v>564</v>
      </c>
      <c r="O62" s="81">
        <f>EXP(0.35*O$61)</f>
        <v>1</v>
      </c>
      <c r="Q62" s="18" t="s">
        <v>564</v>
      </c>
      <c r="R62" s="81">
        <f>EXP(0.35*R$61)</f>
        <v>1</v>
      </c>
    </row>
    <row r="63" spans="2:19" x14ac:dyDescent="0.25">
      <c r="J63" s="694"/>
      <c r="K63" s="14" t="s">
        <v>580</v>
      </c>
      <c r="L63" s="110">
        <f>R62</f>
        <v>1</v>
      </c>
      <c r="N63" s="18" t="s">
        <v>553</v>
      </c>
      <c r="O63" s="81">
        <f>EXP(0.283*O$61)</f>
        <v>1</v>
      </c>
      <c r="Q63" s="18" t="s">
        <v>553</v>
      </c>
      <c r="R63" s="81">
        <f>EXP(0.283*R$61)</f>
        <v>1</v>
      </c>
    </row>
    <row r="64" spans="2:19" x14ac:dyDescent="0.25">
      <c r="J64" s="694"/>
      <c r="K64" s="14" t="s">
        <v>579</v>
      </c>
      <c r="L64" s="110">
        <f>R63</f>
        <v>1</v>
      </c>
      <c r="N64" s="18" t="s">
        <v>533</v>
      </c>
      <c r="O64" s="81">
        <f>EXP(-0.0675*O$61)</f>
        <v>1</v>
      </c>
      <c r="Q64" s="18" t="s">
        <v>533</v>
      </c>
      <c r="R64" s="81">
        <f>EXP(-0.0675*R$61)</f>
        <v>1</v>
      </c>
    </row>
    <row r="65" spans="10:19" x14ac:dyDescent="0.25">
      <c r="J65" s="694"/>
      <c r="K65" s="14" t="s">
        <v>578</v>
      </c>
      <c r="L65" s="110">
        <f>R64</f>
        <v>1</v>
      </c>
      <c r="N65" s="18" t="s">
        <v>543</v>
      </c>
      <c r="O65" s="81">
        <f>EXP(-0.611*O$61)</f>
        <v>1</v>
      </c>
      <c r="P65" s="477"/>
      <c r="Q65" s="18" t="s">
        <v>543</v>
      </c>
      <c r="R65" s="81">
        <f>EXP(-0.611*R$61)</f>
        <v>1</v>
      </c>
    </row>
    <row r="66" spans="10:19" x14ac:dyDescent="0.25">
      <c r="J66" s="694"/>
      <c r="K66" s="14" t="s">
        <v>577</v>
      </c>
      <c r="L66" s="110">
        <f>R65</f>
        <v>1</v>
      </c>
    </row>
    <row r="67" spans="10:19" x14ac:dyDescent="0.25">
      <c r="J67" s="694"/>
      <c r="K67" s="14" t="s">
        <v>576</v>
      </c>
      <c r="L67" s="476">
        <f>R73</f>
        <v>1</v>
      </c>
      <c r="N67" s="565" t="s">
        <v>575</v>
      </c>
      <c r="O67" s="565"/>
      <c r="P67" s="565"/>
      <c r="Q67" s="565"/>
      <c r="R67" s="565"/>
    </row>
    <row r="68" spans="10:19" x14ac:dyDescent="0.25">
      <c r="J68" s="694"/>
      <c r="K68" s="14" t="s">
        <v>574</v>
      </c>
      <c r="L68" s="476">
        <f>R78</f>
        <v>1</v>
      </c>
      <c r="N68" s="691" t="s">
        <v>129</v>
      </c>
      <c r="O68" s="691"/>
      <c r="Q68" s="691" t="s">
        <v>130</v>
      </c>
      <c r="R68" s="691"/>
    </row>
    <row r="69" spans="10:19" x14ac:dyDescent="0.25">
      <c r="J69" s="694"/>
      <c r="K69" s="14" t="s">
        <v>573</v>
      </c>
      <c r="L69" s="476">
        <f>R84</f>
        <v>1</v>
      </c>
      <c r="N69" s="13" t="s">
        <v>572</v>
      </c>
      <c r="O69" s="475" t="str">
        <f>IF(FWY_Project!$C$107=1,IF(FWY_Project!$G$20=0,1,(1-FWY_Project!$G$19/FWY_Project!$C$5)*1+FWY_Project!$G$19/FWY_Project!$C$5*EXP(0.175/FWY_Project!$G$20)),"N/A")</f>
        <v>N/A</v>
      </c>
      <c r="Q69" s="13" t="s">
        <v>572</v>
      </c>
      <c r="R69" s="475" t="str">
        <f>IF(FWY_Project!$C$107=1,IF(FWY_Project!$G$20=0,1,(1-FWY_Project!$G$19/FWY_Project!$C$5)*1+FWY_Project!$G$19/FWY_Project!$C$5*EXP(0.175/FWY_Project!$G$20)),"N/A")</f>
        <v>N/A</v>
      </c>
    </row>
    <row r="70" spans="10:19" x14ac:dyDescent="0.25">
      <c r="J70" s="694"/>
      <c r="K70" s="14" t="s">
        <v>571</v>
      </c>
      <c r="L70" s="476">
        <f>R85</f>
        <v>1</v>
      </c>
      <c r="N70" s="13" t="s">
        <v>570</v>
      </c>
      <c r="O70" s="475" t="str">
        <f>IF(FWY_Project!$C$107=1,IF(FWY_Project!$G$27=0,1,(1-FWY_Project!#REF!/FWY_Project!$C$5)*1+FWY_Project!#REF!/FWY_Project!$C$5*EXP(0.175/FWY_Project!$G$27)),"N/A")</f>
        <v>N/A</v>
      </c>
      <c r="Q70" s="13" t="s">
        <v>570</v>
      </c>
      <c r="R70" s="475" t="str">
        <f>IF(FWY_Project!$C$107=1,IF(FWY_Project!$G$27=0,1,(1-FWY_Project!#REF!/FWY_Project!$C$5)*1+FWY_Project!#REF!/FWY_Project!$C$5*EXP(0.175/FWY_Project!$G$27)),"N/A")</f>
        <v>N/A</v>
      </c>
    </row>
    <row r="71" spans="10:19" x14ac:dyDescent="0.25">
      <c r="J71" s="694"/>
      <c r="K71" s="14" t="s">
        <v>569</v>
      </c>
      <c r="L71" s="476">
        <f>R93</f>
        <v>1.0508611805872119</v>
      </c>
      <c r="N71" s="13" t="s">
        <v>568</v>
      </c>
      <c r="O71" s="475" t="str">
        <f>IF(FWY_Project!$C$107=1,IF(OR(FWY_Project!#REF!&gt;0.5,FWY_Project!#REF!=0),1,(1+(EXP(-12.56*FWY_Project!#REF!+(-0.272)*LN(0.001*FWY_Project!#REF!)))/(12.56*FWY_Project!$C$5)*(1-EXP(-12.56*FWY_Project!$C$5))))*IF(OR(FWY_Project!#REF!&gt;0.5,FWY_Project!#REF!=0),1,(1+(EXP(-12.56*FWY_Project!#REF!+(-0.272)*LN(0.001*FWY_Project!#REF!)))/(12.56*FWY_Project!$C$5)*(1-EXP(-12.56*FWY_Project!$C$5)))),"N/A")</f>
        <v>N/A</v>
      </c>
      <c r="Q71" s="13" t="s">
        <v>568</v>
      </c>
      <c r="R71" s="475" t="str">
        <f>IF(FWY_Project!$C$107=1,IF(OR(FWY_Project!#REF!&gt;0.5,FWY_Project!#REF!=0),1,(1+(EXP(-12.56*FWY_Project!#REF!+(-0.272)*LN(0.001*FWY_Project!#REF!)))/(12.56*FWY_Project!$C$5)*(1-EXP(-12.56*FWY_Project!$C$5))))*IF(OR(FWY_Project!#REF!&gt;0.5,FWY_Project!#REF!=0),1,(1+(EXP(-12.56*FWY_Project!#REF!+(-0.272)*LN(0.001*FWY_Project!#REF!)))/(12.56*FWY_Project!$C$5)*(1-EXP(-12.56*FWY_Project!$C$5)))),"N/A")</f>
        <v>N/A</v>
      </c>
    </row>
    <row r="72" spans="10:19" x14ac:dyDescent="0.25">
      <c r="J72" s="694"/>
      <c r="K72" s="14" t="s">
        <v>567</v>
      </c>
      <c r="L72" s="476">
        <f>R26</f>
        <v>1.0080197758106508</v>
      </c>
      <c r="N72" s="13" t="s">
        <v>566</v>
      </c>
      <c r="O72" s="475" t="str">
        <f>IF(FWY_Project!$C$107=1,IF(OR(FWY_Project!$G$28&gt;0.5,FWY_Project!$G$29=0),1,(1+(EXP(-12.56*FWY_Project!$G$28+(-0.272)*LN(0.001*FWY_Project!$G$29)))/(12.56*FWY_Project!$C$5)*(1-EXP(-12.56*FWY_Project!$C$5))))*IF(OR(FWY_Project!$G$30&gt;0.5,FWY_Project!$G$31=0),1,(1+(EXP(-12.56*FWY_Project!$G$30+(-0.272)*LN(0.001*FWY_Project!$G$31)))/(12.56*FWY_Project!$C$5)*(1-EXP(-12.56*FWY_Project!$C$5)))),"N/A")</f>
        <v>N/A</v>
      </c>
      <c r="Q72" s="13" t="s">
        <v>566</v>
      </c>
      <c r="R72" s="475" t="str">
        <f>IF(FWY_Project!$C$107=1,IF(OR(FWY_Project!$G$28&gt;0.5,FWY_Project!$G$29=0),1,(1+(EXP(-12.56*FWY_Project!$G$28+(-0.272)*LN(0.001*FWY_Project!$G$29)))/(12.56*FWY_Project!$C$5)*(1-EXP(-12.56*FWY_Project!$C$5))))*IF(OR(FWY_Project!$G$30&gt;0.5,FWY_Project!$G$31=0),1,(1+(EXP(-12.56*FWY_Project!$G$30+(-0.272)*LN(0.001*FWY_Project!$G$31)))/(12.56*FWY_Project!$C$5)*(1-EXP(-12.56*FWY_Project!$C$5)))),"N/A")</f>
        <v>N/A</v>
      </c>
    </row>
    <row r="73" spans="10:19" x14ac:dyDescent="0.25">
      <c r="J73" s="694"/>
      <c r="K73" s="14" t="s">
        <v>565</v>
      </c>
      <c r="L73" s="476">
        <f>R27</f>
        <v>1.0158530452071006</v>
      </c>
      <c r="N73" s="18" t="s">
        <v>564</v>
      </c>
      <c r="O73" s="473">
        <f>IF(FWY_Project!$C$107=1,(0.5*O69*O71)+0.5*O70*O72,1)</f>
        <v>1</v>
      </c>
      <c r="P73" s="2"/>
      <c r="Q73" s="18" t="s">
        <v>564</v>
      </c>
      <c r="R73" s="473">
        <f>IF(FWY_Project!$C$107=1,(0.5*R69*R71)+0.5*R70*R72,1)</f>
        <v>1</v>
      </c>
      <c r="S73" s="10"/>
    </row>
    <row r="74" spans="10:19" x14ac:dyDescent="0.25">
      <c r="J74" s="694"/>
      <c r="K74" s="14" t="s">
        <v>563</v>
      </c>
      <c r="L74" s="476">
        <f>R28</f>
        <v>1.0335245279526628</v>
      </c>
      <c r="N74" s="13" t="s">
        <v>562</v>
      </c>
      <c r="O74" s="475" t="str">
        <f>IF(FWY_Project!$C$107=1,IF(FWY_Project!$G$20=0,1,(1-FWY_Project!$G$19/FWY_Project!$C$5)*1+FWY_Project!$G$19/FWY_Project!$C$5*EXP(0.123/FWY_Project!$G$20)),"N/A")</f>
        <v>N/A</v>
      </c>
      <c r="Q74" s="13" t="s">
        <v>562</v>
      </c>
      <c r="R74" s="475" t="str">
        <f>IF(FWY_Project!$C$107=1,IF(FWY_Project!$G$20=0,1,(1-FWY_Project!$G$19/FWY_Project!$C$5)*1+FWY_Project!$G$19/FWY_Project!$C$5*EXP(0.123/FWY_Project!$G$20)),"N/A")</f>
        <v>N/A</v>
      </c>
    </row>
    <row r="75" spans="10:19" x14ac:dyDescent="0.25">
      <c r="J75" s="694"/>
      <c r="K75" s="14" t="s">
        <v>561</v>
      </c>
      <c r="L75" s="476">
        <f>R29</f>
        <v>1.0291882538224852</v>
      </c>
      <c r="N75" s="13" t="s">
        <v>560</v>
      </c>
      <c r="O75" s="475" t="str">
        <f>IF(FWY_Project!$C$107=1,IF(FWY_Project!$G$27=0,1,(1-FWY_Project!#REF!/FWY_Project!$C$5)*1+FWY_Project!#REF!/FWY_Project!$C$5*EXP(0.123/FWY_Project!$G$27)),"N/A")</f>
        <v>N/A</v>
      </c>
      <c r="Q75" s="13" t="s">
        <v>560</v>
      </c>
      <c r="R75" s="475" t="str">
        <f>IF(FWY_Project!$C$107=1,IF(FWY_Project!$G$27=0,1,(1-FWY_Project!#REF!/FWY_Project!$C$5)*1+FWY_Project!#REF!/FWY_Project!$C$5*EXP(0.123/FWY_Project!$G$27)),"N/A")</f>
        <v>N/A</v>
      </c>
    </row>
    <row r="76" spans="10:19" x14ac:dyDescent="0.25">
      <c r="J76" s="694"/>
      <c r="K76" s="14" t="s">
        <v>559</v>
      </c>
      <c r="L76" s="476">
        <f>R37</f>
        <v>1</v>
      </c>
      <c r="N76" s="13" t="s">
        <v>558</v>
      </c>
      <c r="O76" s="475" t="str">
        <f>IF(FWY_Project!$C$107=1,IF(OR(FWY_Project!#REF!&gt;0.5,FWY_Project!#REF!=0),1,(1+(EXP(-13.46*FWY_Project!#REF!+(-0.283)*LN(0.001*FWY_Project!#REF!)))/(13.46*FWY_Project!$C$5)*(1-EXP(-13.46*FWY_Project!$C$5))))*IF(OR(FWY_Project!#REF!&gt;0.5,FWY_Project!#REF!=0),1,(1+(EXP(-13.46*FWY_Project!#REF!+(-0.283)*LN(0.001*FWY_Project!#REF!)))/(13.46*FWY_Project!$C$5)*(1-EXP(-13.46*FWY_Project!$C$5)))),"N/A")</f>
        <v>N/A</v>
      </c>
      <c r="Q76" s="13" t="s">
        <v>558</v>
      </c>
      <c r="R76" s="475" t="str">
        <f>IF(FWY_Project!$C$107=1,IF(OR(FWY_Project!#REF!&gt;0.5,FWY_Project!#REF!=0),1,(1+(EXP(-13.46*FWY_Project!#REF!+(-0.283)*LN(0.001*FWY_Project!#REF!)))/(13.46*FWY_Project!$C$5)*(1-EXP(-13.46*FWY_Project!$C$5))))*IF(OR(FWY_Project!#REF!&gt;0.5,FWY_Project!#REF!=0),1,(1+(EXP(-13.46*FWY_Project!#REF!+(-0.283)*LN(0.001*FWY_Project!#REF!)))/(13.46*FWY_Project!$C$5)*(1-EXP(-13.46*FWY_Project!$C$5)))),"N/A")</f>
        <v>N/A</v>
      </c>
    </row>
    <row r="77" spans="10:19" x14ac:dyDescent="0.25">
      <c r="J77" s="694" t="s">
        <v>557</v>
      </c>
      <c r="K77" s="14" t="s">
        <v>556</v>
      </c>
      <c r="L77" s="476">
        <f>-0.171-0.388*($R$43+$R$82)/2-0.924*$R$61+0.387*($R$35+$R$36)/2+0.208*$R$33-0.261*$R$5+0.492*IF(FWY_Ref!$D$133=1,1,0)</f>
        <v>-2.7798000000000003</v>
      </c>
      <c r="N77" s="13" t="s">
        <v>555</v>
      </c>
      <c r="O77" s="475" t="str">
        <f>IF(FWY_Project!$C$107=1,IF(OR(FWY_Project!$G$28&gt;0.5,FWY_Project!$G$29=0),1,(1+(EXP(-13.46*FWY_Project!$G$28+(-0.283)*LN(0.001*FWY_Project!$G$29)))/(13.46*FWY_Project!$C$5)*(1-EXP(-13.46*FWY_Project!$C$5))))*IF(OR(FWY_Project!$G$30&gt;0.5,FWY_Project!$G$31=0),1,(1+(EXP(-13.46*FWY_Project!$G$30+(-0.283)*LN(0.001*FWY_Project!$G$31)))/(13.46*FWY_Project!$C$5)*(1-EXP(-13.46*FWY_Project!$C$5)))),"N/A")</f>
        <v>N/A</v>
      </c>
      <c r="Q77" s="13" t="s">
        <v>555</v>
      </c>
      <c r="R77" s="475" t="str">
        <f>IF(FWY_Project!$C$107=1,IF(OR(FWY_Project!$G$28&gt;0.5,FWY_Project!$G$29=0),1,(1+(EXP(-13.46*FWY_Project!$G$28+(-0.283)*LN(0.001*FWY_Project!$G$29)))/(13.46*FWY_Project!$C$5)*(1-EXP(-13.46*FWY_Project!$C$5))))*IF(OR(FWY_Project!$G$30&gt;0.5,FWY_Project!$G$31=0),1,(1+(EXP(-13.46*FWY_Project!$G$30+(-0.283)*LN(0.001*FWY_Project!$G$31)))/(13.46*FWY_Project!$C$5)*(1-EXP(-13.46*FWY_Project!$C$5)))),"N/A")</f>
        <v>N/A</v>
      </c>
    </row>
    <row r="78" spans="10:19" x14ac:dyDescent="0.25">
      <c r="J78" s="694"/>
      <c r="K78" s="14" t="s">
        <v>554</v>
      </c>
      <c r="L78" s="476">
        <f>-2.393-0.325*($R$43+$R$82)/2-0.853*$R$61+0.391*($R$35+$R$36)/2+0.243*$R$33-0*$R$5+0.43*IF(FWY_Ref!$D$133=1,1,0)</f>
        <v>-1.92655</v>
      </c>
      <c r="N78" s="18" t="s">
        <v>553</v>
      </c>
      <c r="O78" s="473">
        <f>IF(FWY_Project!$C$107=1,(0.5*O74*O76)+0.5*O75*O77,1)</f>
        <v>1</v>
      </c>
      <c r="P78" s="10"/>
      <c r="Q78" s="18" t="s">
        <v>553</v>
      </c>
      <c r="R78" s="473">
        <f>IF(FWY_Project!$C$107=1,(0.5*R74*R76)+0.5*R75*R77,1)</f>
        <v>1</v>
      </c>
      <c r="S78" s="10"/>
    </row>
    <row r="79" spans="10:19" x14ac:dyDescent="0.25">
      <c r="J79" s="694"/>
      <c r="K79" s="14" t="s">
        <v>552</v>
      </c>
      <c r="L79" s="476">
        <f>0.0732-0.25*($R$43+$R$82)/2-0.872*$R$61+0.135*($R$35+$R$36)/2+0.131*$R$33-0.0464*$R$5+0.208*IF(FWY_Ref!$D$133=1,1,0)</f>
        <v>-0.25595000000000001</v>
      </c>
      <c r="O79" s="118"/>
      <c r="R79" s="118"/>
    </row>
    <row r="80" spans="10:19" x14ac:dyDescent="0.25">
      <c r="J80" s="694"/>
      <c r="K80" s="14" t="s">
        <v>551</v>
      </c>
      <c r="L80" s="476">
        <f>EXP(L77)/(1/$L$88+EXP(FWY_Calculations!$L$77)+EXP(FWY_Calculations!$L$78)+EXP(FWY_Calculations!$L$79))</f>
        <v>3.1309096378737626E-2</v>
      </c>
      <c r="N80" s="565" t="s">
        <v>550</v>
      </c>
      <c r="O80" s="565"/>
      <c r="P80" s="565"/>
      <c r="Q80" s="565"/>
      <c r="R80" s="565"/>
    </row>
    <row r="81" spans="10:19" x14ac:dyDescent="0.25">
      <c r="J81" s="694"/>
      <c r="K81" s="14" t="s">
        <v>549</v>
      </c>
      <c r="L81" s="476">
        <f>EXP(L78)/(1/$L$88+EXP(FWY_Calculations!$L$77)+EXP(FWY_Calculations!$L$78)+EXP(FWY_Calculations!$L$79))</f>
        <v>7.349068580546915E-2</v>
      </c>
      <c r="N81" s="691" t="s">
        <v>129</v>
      </c>
      <c r="O81" s="691"/>
      <c r="Q81" s="691" t="s">
        <v>130</v>
      </c>
      <c r="R81" s="691"/>
    </row>
    <row r="82" spans="10:19" x14ac:dyDescent="0.25">
      <c r="J82" s="694"/>
      <c r="K82" s="14" t="s">
        <v>548</v>
      </c>
      <c r="L82" s="476">
        <f>EXP(L79)/(1/$L$88+EXP(FWY_Calculations!$L$77)+EXP(FWY_Calculations!$L$78)+EXP(FWY_Calculations!$L$79))</f>
        <v>0.39062916172641959</v>
      </c>
      <c r="N82" s="13" t="s">
        <v>537</v>
      </c>
      <c r="O82" s="475">
        <f>VLOOKUP(FWY_Project!$C$106,FWY_Ref!$A$267:$C$268,3)</f>
        <v>0</v>
      </c>
      <c r="Q82" s="13" t="s">
        <v>537</v>
      </c>
      <c r="R82" s="475">
        <f>VLOOKUP(IF(FWY_Ref!$J$12=TRUE,1,2),FWY_Ref!$A$325:$C$326,3)</f>
        <v>0</v>
      </c>
    </row>
    <row r="83" spans="10:19" x14ac:dyDescent="0.25">
      <c r="J83" s="694"/>
      <c r="K83" s="14" t="s">
        <v>547</v>
      </c>
      <c r="L83" s="476">
        <f>1-SUM(L80:L82)</f>
        <v>0.50457105608937369</v>
      </c>
      <c r="N83" s="13" t="s">
        <v>536</v>
      </c>
      <c r="O83" s="474">
        <f>VLOOKUP(FWY_Project!$C$106,FWY_Ref!$A$267:$C$268,2)</f>
        <v>0</v>
      </c>
      <c r="Q83" s="13" t="s">
        <v>536</v>
      </c>
      <c r="R83" s="474">
        <f>VLOOKUP(IF(FWY_Ref!$J$12=TRUE,1,2),FWY_Ref!$A$325:$C$326,2)</f>
        <v>0</v>
      </c>
    </row>
    <row r="84" spans="10:19" x14ac:dyDescent="0.25">
      <c r="J84" s="695" t="s">
        <v>546</v>
      </c>
      <c r="K84" s="14" t="s">
        <v>545</v>
      </c>
      <c r="L84" s="476">
        <f>FWY_Setup!F120</f>
        <v>1</v>
      </c>
      <c r="N84" s="18" t="s">
        <v>533</v>
      </c>
      <c r="O84" s="81">
        <f>(1-O$82)*1+O$82*IF(O$83=0,0,EXP(0.131/O$83))</f>
        <v>1</v>
      </c>
      <c r="P84" s="376"/>
      <c r="Q84" s="18" t="s">
        <v>533</v>
      </c>
      <c r="R84" s="81">
        <f>(1-R$82)*1+R$82*IF(R$83=0,0,EXP(0.131/R$83))</f>
        <v>1</v>
      </c>
      <c r="S84" s="376"/>
    </row>
    <row r="85" spans="10:19" x14ac:dyDescent="0.25">
      <c r="J85" s="695"/>
      <c r="K85" s="14" t="s">
        <v>544</v>
      </c>
      <c r="L85" s="476">
        <f>FWY_Setup!F121</f>
        <v>1</v>
      </c>
      <c r="N85" s="18" t="s">
        <v>543</v>
      </c>
      <c r="O85" s="81">
        <f>(1-O$82)*1+O$82*IF(O$83=0,0,EXP(0.169/O$83))</f>
        <v>1</v>
      </c>
      <c r="Q85" s="18" t="s">
        <v>543</v>
      </c>
      <c r="R85" s="81">
        <f>(1-R$82)*1+R$82*IF(R$83=0,0,EXP(0.169/R$83))</f>
        <v>1</v>
      </c>
    </row>
    <row r="86" spans="10:19" x14ac:dyDescent="0.25">
      <c r="J86" s="695"/>
      <c r="K86" s="14" t="s">
        <v>542</v>
      </c>
      <c r="L86" s="476">
        <f>FWY_Setup!F122</f>
        <v>1</v>
      </c>
    </row>
    <row r="87" spans="10:19" x14ac:dyDescent="0.25">
      <c r="J87" s="695"/>
      <c r="K87" s="14" t="s">
        <v>541</v>
      </c>
      <c r="L87" s="476">
        <f>FWY_Setup!F123</f>
        <v>1</v>
      </c>
      <c r="N87" s="565" t="s">
        <v>540</v>
      </c>
      <c r="O87" s="565"/>
      <c r="P87" s="565"/>
      <c r="Q87" s="565"/>
      <c r="R87" s="565"/>
    </row>
    <row r="88" spans="10:19" x14ac:dyDescent="0.25">
      <c r="J88" s="695"/>
      <c r="K88" s="14" t="s">
        <v>539</v>
      </c>
      <c r="L88" s="476">
        <f>FWY_Setup!F124</f>
        <v>1</v>
      </c>
      <c r="N88" s="691" t="s">
        <v>129</v>
      </c>
      <c r="O88" s="691"/>
      <c r="Q88" s="691" t="s">
        <v>130</v>
      </c>
      <c r="R88" s="691"/>
    </row>
    <row r="89" spans="10:19" ht="15" customHeight="1" x14ac:dyDescent="0.25">
      <c r="J89" s="694" t="s">
        <v>538</v>
      </c>
      <c r="K89" s="14" t="s">
        <v>531</v>
      </c>
      <c r="L89" s="228">
        <f>L84*L4*L10*L12*L18*L22*L26*L30*L35</f>
        <v>2.1611667167709663</v>
      </c>
      <c r="N89" s="13" t="s">
        <v>537</v>
      </c>
      <c r="O89" s="475">
        <f>VLOOKUP(FWY_Project!$C$106,FWY_Ref!$A$267:$C$268,3)</f>
        <v>0</v>
      </c>
      <c r="Q89" s="13" t="s">
        <v>537</v>
      </c>
      <c r="R89" s="475">
        <f>VLOOKUP(IF(FWY_Ref!$J$12=TRUE,1,2),FWY_Ref!$A$325:$C$326,3)</f>
        <v>0</v>
      </c>
    </row>
    <row r="90" spans="10:19" x14ac:dyDescent="0.25">
      <c r="J90" s="694"/>
      <c r="K90" s="14" t="s">
        <v>530</v>
      </c>
      <c r="L90" s="228">
        <f>L84*L4*L10*L12*L18*L22*L26*L30*L35*L43</f>
        <v>6.7664177025902147E-2</v>
      </c>
      <c r="N90" s="13" t="s">
        <v>536</v>
      </c>
      <c r="O90" s="474">
        <f>VLOOKUP(FWY_Project!$C$106,FWY_Ref!$A$267:$C$268,2)</f>
        <v>0</v>
      </c>
      <c r="Q90" s="13" t="s">
        <v>536</v>
      </c>
      <c r="R90" s="474">
        <f>VLOOKUP(IF(FWY_Ref!$J$12=TRUE,1,2),FWY_Ref!$A$325:$C$326,2)</f>
        <v>0</v>
      </c>
    </row>
    <row r="91" spans="10:19" x14ac:dyDescent="0.25">
      <c r="J91" s="694"/>
      <c r="K91" s="14" t="s">
        <v>529</v>
      </c>
      <c r="L91" s="228">
        <f>L84*L4*L10*L12*L18*L22*L26*L30*L35*L44</f>
        <v>0.15882562415545243</v>
      </c>
      <c r="N91" s="13" t="s">
        <v>535</v>
      </c>
      <c r="O91" s="474">
        <f>FWY_Project!$C$24</f>
        <v>15</v>
      </c>
      <c r="Q91" s="13" t="s">
        <v>535</v>
      </c>
      <c r="R91" s="474">
        <f>FWY_Ref!N10</f>
        <v>15</v>
      </c>
      <c r="S91" s="10"/>
    </row>
    <row r="92" spans="10:19" x14ac:dyDescent="0.25">
      <c r="J92" s="694"/>
      <c r="K92" s="14" t="s">
        <v>528</v>
      </c>
      <c r="L92" s="228">
        <f>L84*L4*L10*L12*L18*L22*L26*L30*L35*L45</f>
        <v>0.84421474292328103</v>
      </c>
      <c r="N92" s="13" t="s">
        <v>534</v>
      </c>
      <c r="O92" s="474">
        <f>FWY_Ref!$E$100</f>
        <v>6</v>
      </c>
      <c r="Q92" s="13" t="s">
        <v>534</v>
      </c>
      <c r="R92" s="474">
        <f>FWY_Ref!N8</f>
        <v>6</v>
      </c>
      <c r="S92" s="376"/>
    </row>
    <row r="93" spans="10:19" x14ac:dyDescent="0.25">
      <c r="J93" s="694"/>
      <c r="K93" s="14" t="s">
        <v>527</v>
      </c>
      <c r="L93" s="228">
        <f>L84*L4*L10*L12*L18*L22*L26*L30*L35*L46</f>
        <v>1.0904621726663308</v>
      </c>
      <c r="N93" s="18" t="s">
        <v>533</v>
      </c>
      <c r="O93" s="473">
        <f>(1-O89)*EXP(-0.00451*(O91-O92-20))+O89*EXP(-0.00451*(O90-20))</f>
        <v>1.0508611805872119</v>
      </c>
      <c r="P93" s="10"/>
      <c r="Q93" s="18" t="s">
        <v>533</v>
      </c>
      <c r="R93" s="81">
        <f>(1-R89)*EXP(-0.00451*(R91-R92-20))+R89*EXP(-0.00451*(R90-20))</f>
        <v>1.0508611805872119</v>
      </c>
    </row>
    <row r="94" spans="10:19" x14ac:dyDescent="0.25">
      <c r="J94" s="694"/>
      <c r="K94" s="14" t="s">
        <v>526</v>
      </c>
      <c r="L94" s="228">
        <f>L85*L5*L13*L19*L23*L27*L31*L36</f>
        <v>4.4872121637896702</v>
      </c>
      <c r="O94" s="118"/>
    </row>
    <row r="95" spans="10:19" x14ac:dyDescent="0.25">
      <c r="J95" s="694"/>
      <c r="K95" s="14" t="s">
        <v>525</v>
      </c>
      <c r="L95" s="228">
        <f>L86*L6*L11*L14*L16*L20*L24*L28*L32*L34*L37*L39</f>
        <v>5.806777353087746</v>
      </c>
    </row>
    <row r="96" spans="10:19" x14ac:dyDescent="0.25">
      <c r="J96" s="694"/>
      <c r="K96" s="14" t="s">
        <v>524</v>
      </c>
      <c r="L96" s="228">
        <f>$L$95*L43</f>
        <v>0.18180495179769521</v>
      </c>
    </row>
    <row r="97" spans="2:12" x14ac:dyDescent="0.25">
      <c r="J97" s="694"/>
      <c r="K97" s="14" t="s">
        <v>523</v>
      </c>
      <c r="L97" s="228">
        <f>$L$95*L44</f>
        <v>0.42674404999808535</v>
      </c>
    </row>
    <row r="98" spans="2:12" x14ac:dyDescent="0.25">
      <c r="J98" s="694"/>
      <c r="K98" s="14" t="s">
        <v>522</v>
      </c>
      <c r="L98" s="228">
        <f>$L$95*L45</f>
        <v>2.2682965697686237</v>
      </c>
    </row>
    <row r="99" spans="2:12" x14ac:dyDescent="0.25">
      <c r="J99" s="694"/>
      <c r="K99" s="14" t="s">
        <v>521</v>
      </c>
      <c r="L99" s="228">
        <f>$L$95*L46</f>
        <v>2.9299317815233419</v>
      </c>
    </row>
    <row r="100" spans="2:12" x14ac:dyDescent="0.25">
      <c r="J100" s="694"/>
      <c r="K100" s="14" t="s">
        <v>520</v>
      </c>
      <c r="L100" s="228">
        <f>L87*L7*L15*L17*L21*L25*L29*L33*L38</f>
        <v>10.042202356613362</v>
      </c>
    </row>
    <row r="101" spans="2:12" x14ac:dyDescent="0.25">
      <c r="J101" s="694" t="s">
        <v>532</v>
      </c>
      <c r="K101" s="14" t="s">
        <v>531</v>
      </c>
      <c r="L101" s="228">
        <f>L89*(1-L47/L10*L49/L12*L55/L18*L59/L22*L63/L26*L67/L30*L72/L35)</f>
        <v>0</v>
      </c>
    </row>
    <row r="102" spans="2:12" x14ac:dyDescent="0.25">
      <c r="J102" s="694"/>
      <c r="K102" s="14" t="s">
        <v>530</v>
      </c>
      <c r="L102" s="228">
        <f>$L$101*L80</f>
        <v>0</v>
      </c>
    </row>
    <row r="103" spans="2:12" x14ac:dyDescent="0.25">
      <c r="B103" t="s">
        <v>319</v>
      </c>
      <c r="C103">
        <f>FWY_Ref!C19</f>
        <v>1</v>
      </c>
      <c r="J103" s="694"/>
      <c r="K103" s="14" t="s">
        <v>529</v>
      </c>
      <c r="L103" s="228">
        <f>$L$101*L81</f>
        <v>0</v>
      </c>
    </row>
    <row r="104" spans="2:12" x14ac:dyDescent="0.25">
      <c r="B104" t="s">
        <v>337</v>
      </c>
      <c r="C104">
        <f>FWY_Ref!C7</f>
        <v>1</v>
      </c>
      <c r="J104" s="694"/>
      <c r="K104" s="14" t="s">
        <v>528</v>
      </c>
      <c r="L104" s="228">
        <f>$L$101*L82</f>
        <v>0</v>
      </c>
    </row>
    <row r="105" spans="2:12" x14ac:dyDescent="0.25">
      <c r="B105" t="s">
        <v>338</v>
      </c>
      <c r="C105">
        <f>FWY_Project!M15</f>
        <v>4</v>
      </c>
      <c r="J105" s="694"/>
      <c r="K105" s="14" t="s">
        <v>527</v>
      </c>
      <c r="L105" s="228">
        <f>$L$101*L83</f>
        <v>0</v>
      </c>
    </row>
    <row r="106" spans="2:12" x14ac:dyDescent="0.25">
      <c r="J106" s="694"/>
      <c r="K106" s="14" t="s">
        <v>526</v>
      </c>
      <c r="L106" s="228">
        <f>L94*(1-L50/L13*L56/L19*L60/L23*L64/L27*L68/L31*L73/L36)</f>
        <v>0</v>
      </c>
    </row>
    <row r="107" spans="2:12" x14ac:dyDescent="0.25">
      <c r="J107" s="694"/>
      <c r="K107" s="14" t="s">
        <v>525</v>
      </c>
      <c r="L107" s="228">
        <f>L95*(1-L48/L11*L51/L14*L53/L16*L57/L20*L61/L24*L65/L28*L69/L32*L71/L34*L74/L37*L76/L39)</f>
        <v>0</v>
      </c>
    </row>
    <row r="108" spans="2:12" x14ac:dyDescent="0.25">
      <c r="J108" s="694"/>
      <c r="K108" s="14" t="s">
        <v>524</v>
      </c>
      <c r="L108" s="228">
        <f>$L$107*L80</f>
        <v>0</v>
      </c>
    </row>
    <row r="109" spans="2:12" x14ac:dyDescent="0.25">
      <c r="J109" s="694"/>
      <c r="K109" s="14" t="s">
        <v>523</v>
      </c>
      <c r="L109" s="228">
        <f>$L$107*L81</f>
        <v>0</v>
      </c>
    </row>
    <row r="110" spans="2:12" x14ac:dyDescent="0.25">
      <c r="J110" s="694"/>
      <c r="K110" s="14" t="s">
        <v>522</v>
      </c>
      <c r="L110" s="228">
        <f>$L$107*L82</f>
        <v>0</v>
      </c>
    </row>
    <row r="111" spans="2:12" x14ac:dyDescent="0.25">
      <c r="J111" s="694"/>
      <c r="K111" s="14" t="s">
        <v>521</v>
      </c>
      <c r="L111" s="228">
        <f>$L$107*L83</f>
        <v>0</v>
      </c>
    </row>
    <row r="112" spans="2:12" x14ac:dyDescent="0.25">
      <c r="J112" s="694"/>
      <c r="K112" s="14" t="s">
        <v>520</v>
      </c>
      <c r="L112" s="228">
        <f>L100*(1-L52/L15*L54/L17*L58/L21*L62/L25*L66/L29*L70/L33*L75/L38)</f>
        <v>0</v>
      </c>
    </row>
    <row r="113" spans="10:12" x14ac:dyDescent="0.25">
      <c r="J113" s="695" t="s">
        <v>111</v>
      </c>
      <c r="K113" s="15" t="s">
        <v>34</v>
      </c>
      <c r="L113" s="76">
        <f>FWY_Setup!F104</f>
        <v>20</v>
      </c>
    </row>
    <row r="114" spans="10:12" x14ac:dyDescent="0.25">
      <c r="J114" s="695"/>
      <c r="K114" s="15" t="s">
        <v>35</v>
      </c>
      <c r="L114" s="76">
        <f>FWY_Setup!F105</f>
        <v>0</v>
      </c>
    </row>
    <row r="115" spans="10:12" x14ac:dyDescent="0.25">
      <c r="J115" s="695"/>
      <c r="K115" s="15" t="s">
        <v>36</v>
      </c>
      <c r="L115" s="76">
        <f>FWY_Setup!F106</f>
        <v>20</v>
      </c>
    </row>
    <row r="116" spans="10:12" x14ac:dyDescent="0.25">
      <c r="J116" s="695"/>
      <c r="K116" s="15" t="s">
        <v>37</v>
      </c>
      <c r="L116" s="76">
        <f>FWY_Setup!F107</f>
        <v>20</v>
      </c>
    </row>
    <row r="117" spans="10:12" x14ac:dyDescent="0.25">
      <c r="J117" s="695"/>
      <c r="K117" s="15" t="s">
        <v>38</v>
      </c>
      <c r="L117" s="76">
        <f>FWY_Setup!F108</f>
        <v>20</v>
      </c>
    </row>
    <row r="118" spans="10:12" x14ac:dyDescent="0.25">
      <c r="J118" s="695"/>
      <c r="K118" s="22" t="s">
        <v>39</v>
      </c>
      <c r="L118" s="76">
        <f>FWY_Setup!F109</f>
        <v>20</v>
      </c>
    </row>
    <row r="119" spans="10:12" x14ac:dyDescent="0.25">
      <c r="J119" s="694" t="s">
        <v>112</v>
      </c>
      <c r="K119" s="15" t="s">
        <v>222</v>
      </c>
      <c r="L119" s="232">
        <f>FWY_Setup!F111</f>
        <v>4008900</v>
      </c>
    </row>
    <row r="120" spans="10:12" x14ac:dyDescent="0.25">
      <c r="J120" s="694"/>
      <c r="K120" s="15" t="s">
        <v>233</v>
      </c>
      <c r="L120" s="232">
        <f>FWY_Setup!F112</f>
        <v>216000</v>
      </c>
    </row>
    <row r="121" spans="10:12" x14ac:dyDescent="0.25">
      <c r="J121" s="694"/>
      <c r="K121" s="15" t="s">
        <v>224</v>
      </c>
      <c r="L121" s="232">
        <f>FWY_Setup!F113</f>
        <v>79000</v>
      </c>
    </row>
    <row r="122" spans="10:12" x14ac:dyDescent="0.25">
      <c r="J122" s="694"/>
      <c r="K122" s="15" t="s">
        <v>225</v>
      </c>
      <c r="L122" s="232">
        <f>FWY_Setup!F114</f>
        <v>44900</v>
      </c>
    </row>
    <row r="123" spans="10:12" x14ac:dyDescent="0.25">
      <c r="J123" s="694"/>
      <c r="K123" s="15" t="s">
        <v>226</v>
      </c>
      <c r="L123" s="232">
        <f>FWY_Setup!F115</f>
        <v>7400</v>
      </c>
    </row>
    <row r="124" spans="10:12" x14ac:dyDescent="0.25">
      <c r="J124" s="396" t="s">
        <v>23</v>
      </c>
      <c r="K124" s="1"/>
      <c r="L124" s="77">
        <f>FWY_Setup!F102</f>
        <v>7.0000000000000007E-2</v>
      </c>
    </row>
    <row r="125" spans="10:12" x14ac:dyDescent="0.25">
      <c r="J125" s="425"/>
      <c r="K125" s="7"/>
      <c r="L125" s="472"/>
    </row>
    <row r="126" spans="10:12" ht="15" customHeight="1" x14ac:dyDescent="0.25">
      <c r="J126" s="560" t="s">
        <v>326</v>
      </c>
      <c r="K126" s="1" t="s">
        <v>519</v>
      </c>
      <c r="L126" s="227">
        <f>1/(17.6*FWY_Ref!$C$20)</f>
        <v>1.8939393939393936E-2</v>
      </c>
    </row>
    <row r="127" spans="10:12" ht="15" customHeight="1" x14ac:dyDescent="0.25">
      <c r="J127" s="561"/>
      <c r="K127" s="1" t="s">
        <v>518</v>
      </c>
      <c r="L127" s="227">
        <f>1/(18.8*FWY_Ref!$C$20)</f>
        <v>1.7730496453900707E-2</v>
      </c>
    </row>
    <row r="128" spans="10:12" ht="15" customHeight="1" x14ac:dyDescent="0.25">
      <c r="J128" s="561"/>
      <c r="K128" s="1" t="s">
        <v>517</v>
      </c>
      <c r="L128" s="227">
        <f>1/(30.1*FWY_Ref!$C$20)</f>
        <v>1.1074197120708748E-2</v>
      </c>
    </row>
    <row r="129" spans="10:12" ht="15" customHeight="1" x14ac:dyDescent="0.25">
      <c r="J129" s="561"/>
      <c r="K129" s="1" t="s">
        <v>516</v>
      </c>
      <c r="L129" s="227">
        <f>1/(20.7*FWY_Ref!$C$20)</f>
        <v>1.6103059581320453E-2</v>
      </c>
    </row>
    <row r="130" spans="10:12" ht="15" customHeight="1" x14ac:dyDescent="0.25">
      <c r="J130" s="561"/>
      <c r="K130" s="1" t="s">
        <v>515</v>
      </c>
      <c r="L130" s="227">
        <f>1/(1+L126*FWY_Project!$G$22*FWY_Calculations!L89)</f>
        <v>0.83011253881911717</v>
      </c>
    </row>
    <row r="131" spans="10:12" ht="15" customHeight="1" x14ac:dyDescent="0.25">
      <c r="J131" s="561"/>
      <c r="K131" s="1" t="s">
        <v>514</v>
      </c>
      <c r="L131" s="227">
        <f>1/(1+L127*FWY_Project!$G$22*FWY_Calculations!L94)</f>
        <v>0.71540865200667392</v>
      </c>
    </row>
    <row r="132" spans="10:12" ht="15" customHeight="1" x14ac:dyDescent="0.25">
      <c r="J132" s="561"/>
      <c r="K132" s="1" t="s">
        <v>513</v>
      </c>
      <c r="L132" s="227">
        <f>1/(1+L128*FWY_Project!$G$22*FWY_Calculations!L95)</f>
        <v>0.75670040126567406</v>
      </c>
    </row>
    <row r="133" spans="10:12" x14ac:dyDescent="0.25">
      <c r="J133" s="561"/>
      <c r="K133" s="1" t="s">
        <v>512</v>
      </c>
      <c r="L133" s="227">
        <f>1/(1+L129*FWY_Project!$G$22*FWY_Calculations!L100)</f>
        <v>0.55292886257625939</v>
      </c>
    </row>
    <row r="134" spans="10:12" x14ac:dyDescent="0.25">
      <c r="J134" s="561"/>
      <c r="K134" s="1" t="s">
        <v>511</v>
      </c>
      <c r="L134" s="228">
        <f>(L130*FWY_Project!$G$22*L89+(1-L130)*FWY_Project!G23)/FWY_Project!G22</f>
        <v>1.794011590070123</v>
      </c>
    </row>
    <row r="135" spans="10:12" x14ac:dyDescent="0.25">
      <c r="J135" s="561"/>
      <c r="K135" s="1" t="s">
        <v>510</v>
      </c>
      <c r="L135" s="228">
        <f>(L131*FWY_Project!$G$22*L94+(1-L131)*FWY_Project!G24)/FWY_Project!G22</f>
        <v>3.210190405364719</v>
      </c>
    </row>
    <row r="136" spans="10:12" x14ac:dyDescent="0.25">
      <c r="J136" s="561"/>
      <c r="K136" s="1" t="s">
        <v>509</v>
      </c>
      <c r="L136" s="228">
        <f>(L132*FWY_Project!$G$22*L95+(1-L132)*FWY_Project!G25)/FWY_Project!G22</f>
        <v>4.3939907531419262</v>
      </c>
    </row>
    <row r="137" spans="10:12" x14ac:dyDescent="0.25">
      <c r="J137" s="561"/>
      <c r="K137" s="1" t="s">
        <v>508</v>
      </c>
      <c r="L137" s="228">
        <f>(L133*FWY_Project!$G$22*L100+(1-L133)*FWY_Project!G26)/FWY_Project!G22</f>
        <v>5.5526235268028579</v>
      </c>
    </row>
    <row r="138" spans="10:12" x14ac:dyDescent="0.25">
      <c r="J138" s="561"/>
      <c r="K138" s="1" t="s">
        <v>507</v>
      </c>
      <c r="L138" s="228">
        <f>L134*(1-L47/L10*L49/L12*L55/L18*L59/L22*L63/L26*L67/L30*L72/L35)</f>
        <v>0</v>
      </c>
    </row>
    <row r="139" spans="10:12" x14ac:dyDescent="0.25">
      <c r="J139" s="561"/>
      <c r="K139" s="1" t="s">
        <v>506</v>
      </c>
      <c r="L139" s="228">
        <f>$L$138*L80</f>
        <v>0</v>
      </c>
    </row>
    <row r="140" spans="10:12" x14ac:dyDescent="0.25">
      <c r="J140" s="561"/>
      <c r="K140" s="1" t="s">
        <v>505</v>
      </c>
      <c r="L140" s="228">
        <f>$L$138*L81</f>
        <v>0</v>
      </c>
    </row>
    <row r="141" spans="10:12" x14ac:dyDescent="0.25">
      <c r="J141" s="561"/>
      <c r="K141" s="1" t="s">
        <v>504</v>
      </c>
      <c r="L141" s="228">
        <f>$L$138*L82</f>
        <v>0</v>
      </c>
    </row>
    <row r="142" spans="10:12" x14ac:dyDescent="0.25">
      <c r="J142" s="561"/>
      <c r="K142" s="1" t="s">
        <v>503</v>
      </c>
      <c r="L142" s="228">
        <f>$L$138*L83</f>
        <v>0</v>
      </c>
    </row>
    <row r="143" spans="10:12" x14ac:dyDescent="0.25">
      <c r="J143" s="561"/>
      <c r="K143" s="1" t="s">
        <v>502</v>
      </c>
      <c r="L143" s="228">
        <f>L135*(1-L50/L13*L56/L19*L60/L23*L64/L27*L68/L31*L73/L36)</f>
        <v>0</v>
      </c>
    </row>
    <row r="144" spans="10:12" x14ac:dyDescent="0.25">
      <c r="J144" s="561"/>
      <c r="K144" s="1" t="s">
        <v>501</v>
      </c>
      <c r="L144" s="228">
        <f>L136*(1-L48/L11*L51/L14*L53/L16*L57/L20*L61/L24*L65/L28*L69/L32*L71/L34*L74/L37*L76/L39)</f>
        <v>0</v>
      </c>
    </row>
    <row r="145" spans="10:12" x14ac:dyDescent="0.25">
      <c r="J145" s="561"/>
      <c r="K145" s="1" t="s">
        <v>500</v>
      </c>
      <c r="L145" s="228">
        <f>$L$144*L80</f>
        <v>0</v>
      </c>
    </row>
    <row r="146" spans="10:12" x14ac:dyDescent="0.25">
      <c r="J146" s="561"/>
      <c r="K146" s="1" t="s">
        <v>499</v>
      </c>
      <c r="L146" s="228">
        <f>$L$144*L81</f>
        <v>0</v>
      </c>
    </row>
    <row r="147" spans="10:12" x14ac:dyDescent="0.25">
      <c r="J147" s="561"/>
      <c r="K147" s="1" t="s">
        <v>498</v>
      </c>
      <c r="L147" s="228">
        <f>$L$144*L82</f>
        <v>0</v>
      </c>
    </row>
    <row r="148" spans="10:12" x14ac:dyDescent="0.25">
      <c r="J148" s="561"/>
      <c r="K148" s="1" t="s">
        <v>497</v>
      </c>
      <c r="L148" s="228">
        <f>$L$144*L83</f>
        <v>0</v>
      </c>
    </row>
    <row r="149" spans="10:12" x14ac:dyDescent="0.25">
      <c r="J149" s="561"/>
      <c r="K149" s="1" t="s">
        <v>496</v>
      </c>
      <c r="L149" s="228">
        <f>L137*(1-L52/L15*L54/L17*L58/L21*L62/L25*L66/L29*L70/L33*L75/L38)</f>
        <v>0</v>
      </c>
    </row>
    <row r="150" spans="10:12" x14ac:dyDescent="0.25">
      <c r="L150" s="71"/>
    </row>
    <row r="151" spans="10:12" x14ac:dyDescent="0.25">
      <c r="J151" s="693" t="s">
        <v>285</v>
      </c>
      <c r="K151" s="693"/>
      <c r="L151" s="231">
        <f>IF(FWY_Ref!C19=2,(L102+L108)*L119+(L103+L109)*L120+(L104+L110)*L121+(L105+L111)*L122+(L106+L112)*L123,(L139+L145)*L119+(L140+L146)*L120+(L141+L147)*L121+(L142+L148)*L122+(L143+L149)*L123)</f>
        <v>0</v>
      </c>
    </row>
  </sheetData>
  <mergeCells count="206">
    <mergeCell ref="BJ32:BK32"/>
    <mergeCell ref="BM32:BN32"/>
    <mergeCell ref="BJ33:BJ34"/>
    <mergeCell ref="BK33:BK34"/>
    <mergeCell ref="BM33:BM34"/>
    <mergeCell ref="BN33:BN34"/>
    <mergeCell ref="BG25:BH25"/>
    <mergeCell ref="BD31:BH31"/>
    <mergeCell ref="BP24:BT24"/>
    <mergeCell ref="BP25:BQ25"/>
    <mergeCell ref="BS25:BT25"/>
    <mergeCell ref="BP31:BT31"/>
    <mergeCell ref="BP32:BQ32"/>
    <mergeCell ref="BS32:BT32"/>
    <mergeCell ref="BD32:BE32"/>
    <mergeCell ref="BG32:BH32"/>
    <mergeCell ref="BD24:BH24"/>
    <mergeCell ref="BD25:BE25"/>
    <mergeCell ref="BJ24:BN24"/>
    <mergeCell ref="BJ25:BK25"/>
    <mergeCell ref="BM25:BN25"/>
    <mergeCell ref="BJ31:BN31"/>
    <mergeCell ref="BP33:BP34"/>
    <mergeCell ref="BQ33:BQ34"/>
    <mergeCell ref="BK35:BK36"/>
    <mergeCell ref="BM35:BM36"/>
    <mergeCell ref="BN35:BN36"/>
    <mergeCell ref="BK37:BK38"/>
    <mergeCell ref="BM37:BM38"/>
    <mergeCell ref="BN37:BN38"/>
    <mergeCell ref="BD33:BD34"/>
    <mergeCell ref="BE33:BE34"/>
    <mergeCell ref="BG33:BG34"/>
    <mergeCell ref="BH33:BH34"/>
    <mergeCell ref="BS33:BS34"/>
    <mergeCell ref="BT33:BT34"/>
    <mergeCell ref="BS37:BS38"/>
    <mergeCell ref="BT37:BT38"/>
    <mergeCell ref="BP35:BP36"/>
    <mergeCell ref="BQ35:BQ36"/>
    <mergeCell ref="BS35:BS36"/>
    <mergeCell ref="BT35:BT36"/>
    <mergeCell ref="BP37:BP38"/>
    <mergeCell ref="BQ37:BQ38"/>
    <mergeCell ref="AU37:AU38"/>
    <mergeCell ref="AV37:AV38"/>
    <mergeCell ref="AX35:AX36"/>
    <mergeCell ref="AY35:AY36"/>
    <mergeCell ref="BA35:BA36"/>
    <mergeCell ref="BB35:BB36"/>
    <mergeCell ref="AX37:AX38"/>
    <mergeCell ref="AY37:AY38"/>
    <mergeCell ref="BJ35:BJ36"/>
    <mergeCell ref="BJ37:BJ38"/>
    <mergeCell ref="BD35:BD36"/>
    <mergeCell ref="BE35:BE36"/>
    <mergeCell ref="BG35:BG36"/>
    <mergeCell ref="BH35:BH36"/>
    <mergeCell ref="BD37:BD38"/>
    <mergeCell ref="BE37:BE38"/>
    <mergeCell ref="BA37:BA38"/>
    <mergeCell ref="BB37:BB38"/>
    <mergeCell ref="BG37:BG38"/>
    <mergeCell ref="BH37:BH38"/>
    <mergeCell ref="AU33:AU34"/>
    <mergeCell ref="AV33:AV34"/>
    <mergeCell ref="AR35:AR36"/>
    <mergeCell ref="AS35:AS36"/>
    <mergeCell ref="AU35:AU36"/>
    <mergeCell ref="AV35:AV36"/>
    <mergeCell ref="AX24:BB24"/>
    <mergeCell ref="AX25:AY25"/>
    <mergeCell ref="BA25:BB25"/>
    <mergeCell ref="AX31:BB31"/>
    <mergeCell ref="AX32:AY32"/>
    <mergeCell ref="BA32:BB32"/>
    <mergeCell ref="AX33:AX34"/>
    <mergeCell ref="AY33:AY34"/>
    <mergeCell ref="AR24:AV24"/>
    <mergeCell ref="AR25:AS25"/>
    <mergeCell ref="AU25:AV25"/>
    <mergeCell ref="AR31:AV31"/>
    <mergeCell ref="AR32:AS32"/>
    <mergeCell ref="AU32:AV32"/>
    <mergeCell ref="BA33:BA34"/>
    <mergeCell ref="BB33:BB34"/>
    <mergeCell ref="AR37:AR38"/>
    <mergeCell ref="AS37:AS38"/>
    <mergeCell ref="AL37:AL38"/>
    <mergeCell ref="AM37:AM38"/>
    <mergeCell ref="AO37:AO38"/>
    <mergeCell ref="AP37:AP38"/>
    <mergeCell ref="AM33:AM34"/>
    <mergeCell ref="AO33:AO34"/>
    <mergeCell ref="AP33:AP34"/>
    <mergeCell ref="AL35:AL36"/>
    <mergeCell ref="AM35:AM36"/>
    <mergeCell ref="AO35:AO36"/>
    <mergeCell ref="AP35:AP36"/>
    <mergeCell ref="AR33:AR34"/>
    <mergeCell ref="AS33:AS34"/>
    <mergeCell ref="AL24:AP24"/>
    <mergeCell ref="AL25:AM25"/>
    <mergeCell ref="AO25:AP25"/>
    <mergeCell ref="AL31:AP31"/>
    <mergeCell ref="AL32:AM32"/>
    <mergeCell ref="AO32:AP32"/>
    <mergeCell ref="AF24:AJ24"/>
    <mergeCell ref="AF25:AG25"/>
    <mergeCell ref="AI25:AJ25"/>
    <mergeCell ref="AF31:AJ31"/>
    <mergeCell ref="AF32:AG32"/>
    <mergeCell ref="AI32:AJ32"/>
    <mergeCell ref="AF37:AF38"/>
    <mergeCell ref="AG37:AG38"/>
    <mergeCell ref="AI37:AI38"/>
    <mergeCell ref="AJ37:AJ38"/>
    <mergeCell ref="Z37:Z38"/>
    <mergeCell ref="AA37:AA38"/>
    <mergeCell ref="AC37:AC38"/>
    <mergeCell ref="AD37:AD38"/>
    <mergeCell ref="AL33:AL34"/>
    <mergeCell ref="AF35:AF36"/>
    <mergeCell ref="AG35:AG36"/>
    <mergeCell ref="AF33:AF34"/>
    <mergeCell ref="AG33:AG34"/>
    <mergeCell ref="AI35:AI36"/>
    <mergeCell ref="AJ35:AJ36"/>
    <mergeCell ref="AI33:AI34"/>
    <mergeCell ref="AJ33:AJ34"/>
    <mergeCell ref="N58:O58"/>
    <mergeCell ref="AC33:AC34"/>
    <mergeCell ref="AD33:AD34"/>
    <mergeCell ref="Z35:Z36"/>
    <mergeCell ref="AA35:AA36"/>
    <mergeCell ref="AC35:AC36"/>
    <mergeCell ref="AD35:AD36"/>
    <mergeCell ref="Z33:Z34"/>
    <mergeCell ref="Q42:R42"/>
    <mergeCell ref="B7:B19"/>
    <mergeCell ref="B20:B21"/>
    <mergeCell ref="F48:G48"/>
    <mergeCell ref="F49:G49"/>
    <mergeCell ref="F50:G50"/>
    <mergeCell ref="F51:G51"/>
    <mergeCell ref="Z24:AD24"/>
    <mergeCell ref="Z25:AA25"/>
    <mergeCell ref="AC25:AD25"/>
    <mergeCell ref="Z31:AD31"/>
    <mergeCell ref="Z32:AA32"/>
    <mergeCell ref="AC32:AD32"/>
    <mergeCell ref="AA33:AA34"/>
    <mergeCell ref="T25:U25"/>
    <mergeCell ref="W25:X25"/>
    <mergeCell ref="N31:R31"/>
    <mergeCell ref="N32:O32"/>
    <mergeCell ref="Q32:R32"/>
    <mergeCell ref="Q25:R25"/>
    <mergeCell ref="J151:K151"/>
    <mergeCell ref="N25:O25"/>
    <mergeCell ref="N42:O42"/>
    <mergeCell ref="J113:J118"/>
    <mergeCell ref="J119:J123"/>
    <mergeCell ref="N50:R50"/>
    <mergeCell ref="N51:O51"/>
    <mergeCell ref="Q51:R51"/>
    <mergeCell ref="N59:R59"/>
    <mergeCell ref="N60:O60"/>
    <mergeCell ref="N87:R87"/>
    <mergeCell ref="N88:O88"/>
    <mergeCell ref="Q88:R88"/>
    <mergeCell ref="Q60:R60"/>
    <mergeCell ref="J89:J100"/>
    <mergeCell ref="J101:J112"/>
    <mergeCell ref="N67:R67"/>
    <mergeCell ref="N68:O68"/>
    <mergeCell ref="Q68:R68"/>
    <mergeCell ref="J77:J83"/>
    <mergeCell ref="J84:J88"/>
    <mergeCell ref="J47:J76"/>
    <mergeCell ref="N80:R80"/>
    <mergeCell ref="N81:O81"/>
    <mergeCell ref="J126:J149"/>
    <mergeCell ref="B6:C6"/>
    <mergeCell ref="N24:R24"/>
    <mergeCell ref="F47:G47"/>
    <mergeCell ref="B22:B23"/>
    <mergeCell ref="N3:R3"/>
    <mergeCell ref="N4:O4"/>
    <mergeCell ref="Q18:R18"/>
    <mergeCell ref="J3:K3"/>
    <mergeCell ref="J4:J9"/>
    <mergeCell ref="Q4:R4"/>
    <mergeCell ref="N9:R9"/>
    <mergeCell ref="N10:O10"/>
    <mergeCell ref="J10:J39"/>
    <mergeCell ref="Q10:R10"/>
    <mergeCell ref="N18:O18"/>
    <mergeCell ref="J40:J46"/>
    <mergeCell ref="N41:R41"/>
    <mergeCell ref="N17:R17"/>
    <mergeCell ref="Q81:R81"/>
    <mergeCell ref="B48:B52"/>
    <mergeCell ref="F52:G52"/>
    <mergeCell ref="B24:B29"/>
    <mergeCell ref="B30:B35"/>
  </mergeCells>
  <conditionalFormatting sqref="J126:L126 K127:L149">
    <cfRule type="expression" dxfId="0" priority="1">
      <formula>$C$103=2</formula>
    </cfRule>
  </conditionalFormatting>
  <pageMargins left="0.7" right="0.7" top="0.75" bottom="0.75" header="0.3" footer="0.3"/>
  <pageSetup scale="1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2:W341"/>
  <sheetViews>
    <sheetView topLeftCell="D1" workbookViewId="0">
      <selection activeCell="J15" sqref="J15"/>
    </sheetView>
  </sheetViews>
  <sheetFormatPr defaultRowHeight="15" x14ac:dyDescent="0.25"/>
  <cols>
    <col min="1" max="1" width="15.140625" customWidth="1"/>
    <col min="2" max="2" width="26.5703125" customWidth="1"/>
    <col min="3" max="3" width="14.5703125" customWidth="1"/>
    <col min="4" max="4" width="16.140625" customWidth="1"/>
    <col min="5" max="5" width="9.5703125" customWidth="1"/>
    <col min="6" max="6" width="22.7109375" customWidth="1"/>
    <col min="9" max="9" width="28.5703125" customWidth="1"/>
    <col min="10" max="10" width="11.42578125" customWidth="1"/>
    <col min="11" max="11" width="11.140625" customWidth="1"/>
    <col min="12" max="12" width="11.85546875" customWidth="1"/>
    <col min="13" max="13" width="15.28515625" customWidth="1"/>
  </cols>
  <sheetData>
    <row r="2" spans="2:14" x14ac:dyDescent="0.25">
      <c r="B2" s="531"/>
      <c r="C2" t="s">
        <v>739</v>
      </c>
    </row>
    <row r="3" spans="2:14" x14ac:dyDescent="0.25">
      <c r="B3" s="535"/>
      <c r="C3" t="s">
        <v>738</v>
      </c>
    </row>
    <row r="4" spans="2:14" x14ac:dyDescent="0.25">
      <c r="B4" s="533"/>
      <c r="C4" t="s">
        <v>740</v>
      </c>
    </row>
    <row r="6" spans="2:14" x14ac:dyDescent="0.25">
      <c r="G6" t="s">
        <v>662</v>
      </c>
      <c r="J6" t="s">
        <v>166</v>
      </c>
      <c r="K6" t="s">
        <v>77</v>
      </c>
      <c r="L6" t="s">
        <v>78</v>
      </c>
      <c r="N6" t="s">
        <v>313</v>
      </c>
    </row>
    <row r="7" spans="2:14" x14ac:dyDescent="0.25">
      <c r="B7" t="s">
        <v>155</v>
      </c>
      <c r="C7">
        <v>1</v>
      </c>
      <c r="F7" t="s">
        <v>68</v>
      </c>
      <c r="G7">
        <f>IF(FWY_Project!J21="Curve Only in Increasing Milepost Direction",1,IF(FWY_Project!J21="Curve Only in Decreasing Milepost Direction",2,IF(FWY_Project!J21="Concentric Curves",3,IF(FWY_Project!J21="Non-concentric Curves",4,0))))</f>
        <v>0</v>
      </c>
      <c r="I7" t="s">
        <v>59</v>
      </c>
      <c r="J7" t="b">
        <v>0</v>
      </c>
      <c r="L7" t="str">
        <f>IF(D88=1,D80,IF(D88=2,D81,IF(D88=3,D82,IF(D88=4,D83,IF(D88=5,D84,IF(D88=6,D85,IF(D88=7,D86,IF(D88=8,D87,""))))))))</f>
        <v/>
      </c>
      <c r="N7">
        <f>IF(FWY_Ref!J7=TRUE,FWY_Project!G52,FWY_Ref!E88)</f>
        <v>12</v>
      </c>
    </row>
    <row r="8" spans="2:14" x14ac:dyDescent="0.25">
      <c r="B8" t="s">
        <v>156</v>
      </c>
      <c r="C8" s="534" t="s">
        <v>3</v>
      </c>
      <c r="F8" t="s">
        <v>69</v>
      </c>
      <c r="I8" t="s">
        <v>711</v>
      </c>
      <c r="J8" t="b">
        <v>0</v>
      </c>
      <c r="L8" t="str">
        <f>IF(D100=1,D89,IF(D100=2,D90,IF(D100=3,D91,IF(D100=4,D92,IF(D100=5,D93,IF(D100=6,D94,IF(D100=7,D95,IF(D100=8,D96,IF(D100=9,D97,IF(D100=10,D98,IF(D100=11,D99,"")))))))))))</f>
        <v/>
      </c>
      <c r="N8">
        <f>IF(J8=TRUE,FWY_Project!G53,FWY_Ref!E100)</f>
        <v>6</v>
      </c>
    </row>
    <row r="9" spans="2:14" x14ac:dyDescent="0.25">
      <c r="C9" s="534" t="s">
        <v>4</v>
      </c>
      <c r="F9" t="s">
        <v>80</v>
      </c>
      <c r="I9" t="s">
        <v>710</v>
      </c>
      <c r="J9" t="b">
        <v>0</v>
      </c>
      <c r="L9" t="str">
        <f>IF(D112=1,D101,IF(D112=2,D102,IF(D112=3,D103,IF(D112=4,D104,IF(D112=5,D105,IF(D112=6,D106,IF(D112=7,D107,IF(D112=8,D108,IF(D112=9,D109,IF(D112=10,D110,IF(D112=11,D111,"")))))))))))</f>
        <v/>
      </c>
      <c r="N9">
        <f>IF(J9=TRUE,FWY_Project!G54,FWY_Ref!E112)</f>
        <v>2</v>
      </c>
    </row>
    <row r="10" spans="2:14" x14ac:dyDescent="0.25">
      <c r="C10" s="534" t="s">
        <v>5</v>
      </c>
      <c r="F10" t="s">
        <v>161</v>
      </c>
      <c r="I10" t="s">
        <v>709</v>
      </c>
      <c r="J10" t="b">
        <v>0</v>
      </c>
      <c r="N10">
        <f>IF(J10=TRUE,FWY_Project!#REF!,FWY_Project!C24)</f>
        <v>15</v>
      </c>
    </row>
    <row r="11" spans="2:14" x14ac:dyDescent="0.25">
      <c r="B11" t="s">
        <v>157</v>
      </c>
      <c r="C11">
        <v>1</v>
      </c>
      <c r="D11">
        <f>IF(C11=1,FWY_Setup!F5,IF(FWY_Ref!C11=2,FWY_Setup!F6,FWY_Setup!F7))</f>
        <v>2.5</v>
      </c>
      <c r="F11" t="s">
        <v>238</v>
      </c>
      <c r="I11" t="s">
        <v>448</v>
      </c>
      <c r="J11" t="b">
        <v>0</v>
      </c>
      <c r="L11" t="str">
        <f>VLOOKUP(A274,A271:B273,2)</f>
        <v>Install Continuous Centered Barrier</v>
      </c>
    </row>
    <row r="12" spans="2:14" x14ac:dyDescent="0.25">
      <c r="B12" t="s">
        <v>61</v>
      </c>
      <c r="C12" s="534" t="s">
        <v>158</v>
      </c>
      <c r="F12" t="s">
        <v>239</v>
      </c>
      <c r="I12" t="s">
        <v>439</v>
      </c>
      <c r="J12" t="b">
        <v>0</v>
      </c>
    </row>
    <row r="13" spans="2:14" x14ac:dyDescent="0.25">
      <c r="C13" s="534" t="s">
        <v>159</v>
      </c>
      <c r="F13" t="s">
        <v>240</v>
      </c>
      <c r="I13" t="s">
        <v>447</v>
      </c>
      <c r="J13" t="b">
        <v>0</v>
      </c>
      <c r="N13">
        <f>IF(C123=1,1,IF(J13=TRUE,1,0))</f>
        <v>0</v>
      </c>
    </row>
    <row r="14" spans="2:14" x14ac:dyDescent="0.25">
      <c r="B14" t="s">
        <v>160</v>
      </c>
      <c r="C14">
        <v>2</v>
      </c>
      <c r="F14" t="s">
        <v>241</v>
      </c>
      <c r="I14" t="s">
        <v>237</v>
      </c>
      <c r="M14">
        <v>1</v>
      </c>
    </row>
    <row r="15" spans="2:14" x14ac:dyDescent="0.25">
      <c r="F15" t="s">
        <v>242</v>
      </c>
      <c r="I15" t="s">
        <v>446</v>
      </c>
      <c r="J15" t="b">
        <v>0</v>
      </c>
      <c r="N15">
        <f>IF(G123=1,1,IF(J15=TRUE,1,0))</f>
        <v>0</v>
      </c>
    </row>
    <row r="16" spans="2:14" x14ac:dyDescent="0.25">
      <c r="F16" t="s">
        <v>243</v>
      </c>
    </row>
    <row r="18" spans="1:8" x14ac:dyDescent="0.25">
      <c r="B18" t="s">
        <v>261</v>
      </c>
      <c r="C18">
        <f>IF(FWY_Project!L37="Thermoplastic",1,2)</f>
        <v>2</v>
      </c>
    </row>
    <row r="19" spans="1:8" x14ac:dyDescent="0.25">
      <c r="B19" t="s">
        <v>319</v>
      </c>
      <c r="C19">
        <v>1</v>
      </c>
    </row>
    <row r="20" spans="1:8" x14ac:dyDescent="0.25">
      <c r="B20" t="s">
        <v>634</v>
      </c>
      <c r="C20" s="499">
        <f>FWY_Project!C5</f>
        <v>3</v>
      </c>
    </row>
    <row r="28" spans="1:8" x14ac:dyDescent="0.25">
      <c r="B28" t="s">
        <v>207</v>
      </c>
    </row>
    <row r="30" spans="1:8" x14ac:dyDescent="0.25">
      <c r="B30" t="s">
        <v>168</v>
      </c>
      <c r="C30" t="s">
        <v>77</v>
      </c>
      <c r="D30" t="s">
        <v>78</v>
      </c>
      <c r="E30" t="s">
        <v>206</v>
      </c>
      <c r="F30" t="s">
        <v>3</v>
      </c>
      <c r="G30" t="s">
        <v>4</v>
      </c>
      <c r="H30" t="s">
        <v>331</v>
      </c>
    </row>
    <row r="31" spans="1:8" x14ac:dyDescent="0.25">
      <c r="B31" t="s">
        <v>2</v>
      </c>
      <c r="E31">
        <v>1</v>
      </c>
      <c r="F31">
        <v>1</v>
      </c>
      <c r="G31">
        <v>1</v>
      </c>
      <c r="H31">
        <v>1</v>
      </c>
    </row>
    <row r="32" spans="1:8" x14ac:dyDescent="0.25">
      <c r="A32" t="s">
        <v>9</v>
      </c>
      <c r="B32" t="s">
        <v>10</v>
      </c>
      <c r="E32">
        <v>1</v>
      </c>
    </row>
    <row r="33" spans="1:23" x14ac:dyDescent="0.25">
      <c r="B33" t="s">
        <v>11</v>
      </c>
      <c r="E33">
        <v>1</v>
      </c>
    </row>
    <row r="34" spans="1:23" x14ac:dyDescent="0.25">
      <c r="A34" t="s">
        <v>12</v>
      </c>
      <c r="B34" t="s">
        <v>10</v>
      </c>
      <c r="E34">
        <v>1</v>
      </c>
    </row>
    <row r="35" spans="1:23" x14ac:dyDescent="0.25">
      <c r="B35" t="s">
        <v>11</v>
      </c>
      <c r="E35">
        <v>1</v>
      </c>
    </row>
    <row r="36" spans="1:23" x14ac:dyDescent="0.25">
      <c r="A36" t="s">
        <v>13</v>
      </c>
      <c r="B36" t="s">
        <v>10</v>
      </c>
      <c r="E36">
        <v>1</v>
      </c>
    </row>
    <row r="37" spans="1:23" x14ac:dyDescent="0.25">
      <c r="B37" t="s">
        <v>11</v>
      </c>
      <c r="E37">
        <v>1</v>
      </c>
    </row>
    <row r="38" spans="1:23" x14ac:dyDescent="0.25">
      <c r="B38" t="s">
        <v>262</v>
      </c>
      <c r="E38">
        <v>0</v>
      </c>
    </row>
    <row r="40" spans="1:23" x14ac:dyDescent="0.25">
      <c r="A40" t="s">
        <v>14</v>
      </c>
      <c r="P40" t="s">
        <v>708</v>
      </c>
    </row>
    <row r="41" spans="1:23" x14ac:dyDescent="0.25">
      <c r="A41" t="s">
        <v>15</v>
      </c>
      <c r="B41" t="s">
        <v>26</v>
      </c>
      <c r="E41">
        <v>1</v>
      </c>
      <c r="I41" t="s">
        <v>707</v>
      </c>
      <c r="J41" t="s">
        <v>706</v>
      </c>
      <c r="K41">
        <v>1</v>
      </c>
      <c r="M41" t="s">
        <v>489</v>
      </c>
      <c r="Q41" t="s">
        <v>706</v>
      </c>
      <c r="R41" t="s">
        <v>704</v>
      </c>
      <c r="S41" t="s">
        <v>703</v>
      </c>
      <c r="T41" t="s">
        <v>702</v>
      </c>
      <c r="U41" t="s">
        <v>701</v>
      </c>
      <c r="V41" t="s">
        <v>700</v>
      </c>
      <c r="W41" t="s">
        <v>699</v>
      </c>
    </row>
    <row r="42" spans="1:23" x14ac:dyDescent="0.25">
      <c r="A42" t="s">
        <v>16</v>
      </c>
      <c r="B42" t="s">
        <v>27</v>
      </c>
      <c r="E42">
        <v>1</v>
      </c>
      <c r="I42" t="s">
        <v>705</v>
      </c>
      <c r="J42" t="s">
        <v>704</v>
      </c>
      <c r="K42">
        <v>1</v>
      </c>
      <c r="M42" t="s">
        <v>29</v>
      </c>
      <c r="N42">
        <v>1</v>
      </c>
      <c r="P42">
        <v>1</v>
      </c>
      <c r="Q42">
        <f>FWY_Setup!F54</f>
        <v>8.9999999999999993E-3</v>
      </c>
      <c r="R42">
        <f>FWY_Setup!F61</f>
        <v>4.0000000000000001E-3</v>
      </c>
      <c r="S42">
        <f>FWY_Setup!F68</f>
        <v>4.0000000000000001E-3</v>
      </c>
      <c r="T42">
        <f>FWY_Setup!F75</f>
        <v>0.08</v>
      </c>
      <c r="U42">
        <f>FWY_Setup!F82</f>
        <v>7.0000000000000007E-2</v>
      </c>
      <c r="V42">
        <f>FWY_Setup!F89</f>
        <v>0.06</v>
      </c>
      <c r="W42">
        <f>FWY_Setup!F96</f>
        <v>0.06</v>
      </c>
    </row>
    <row r="43" spans="1:23" x14ac:dyDescent="0.25">
      <c r="A43" t="s">
        <v>17</v>
      </c>
      <c r="B43" t="s">
        <v>26</v>
      </c>
      <c r="E43">
        <v>1</v>
      </c>
      <c r="J43" t="s">
        <v>703</v>
      </c>
      <c r="K43">
        <v>1</v>
      </c>
      <c r="M43" t="s">
        <v>30</v>
      </c>
      <c r="N43">
        <v>1</v>
      </c>
      <c r="P43">
        <v>2</v>
      </c>
      <c r="Q43">
        <f>FWY_Setup!F55</f>
        <v>3.0000000000000001E-3</v>
      </c>
      <c r="R43">
        <f>FWY_Setup!F62</f>
        <v>3.0000000000000001E-3</v>
      </c>
      <c r="S43">
        <f>FWY_Setup!F69</f>
        <v>3.0000000000000001E-3</v>
      </c>
      <c r="T43">
        <f>FWY_Setup!F76</f>
        <v>4.0000000000000001E-3</v>
      </c>
      <c r="U43">
        <f>FWY_Setup!F83</f>
        <v>4.0000000000000001E-3</v>
      </c>
      <c r="V43">
        <f>FWY_Setup!F90</f>
        <v>5.0000000000000001E-3</v>
      </c>
      <c r="W43">
        <f>FWY_Setup!F97</f>
        <v>5.0000000000000001E-3</v>
      </c>
    </row>
    <row r="44" spans="1:23" x14ac:dyDescent="0.25">
      <c r="A44" t="s">
        <v>18</v>
      </c>
      <c r="B44" t="s">
        <v>27</v>
      </c>
      <c r="E44">
        <v>1</v>
      </c>
      <c r="J44" t="s">
        <v>702</v>
      </c>
      <c r="K44">
        <v>1</v>
      </c>
      <c r="M44" t="s">
        <v>31</v>
      </c>
      <c r="N44">
        <v>1</v>
      </c>
      <c r="P44">
        <v>3</v>
      </c>
      <c r="Q44">
        <f>FWY_Setup!F56</f>
        <v>0.08</v>
      </c>
      <c r="R44">
        <f>FWY_Setup!F63</f>
        <v>0.08</v>
      </c>
      <c r="S44">
        <f>FWY_Setup!F70</f>
        <v>0.08</v>
      </c>
      <c r="T44">
        <f>FWY_Setup!F77</f>
        <v>8.5000000000000006E-2</v>
      </c>
      <c r="U44">
        <f>FWY_Setup!F84</f>
        <v>0.09</v>
      </c>
      <c r="V44">
        <f>FWY_Setup!F91</f>
        <v>9.5000000000000001E-2</v>
      </c>
      <c r="W44">
        <f>FWY_Setup!F98</f>
        <v>9.5000000000000001E-2</v>
      </c>
    </row>
    <row r="45" spans="1:23" x14ac:dyDescent="0.25">
      <c r="A45" t="s">
        <v>19</v>
      </c>
      <c r="B45" t="s">
        <v>27</v>
      </c>
      <c r="E45">
        <v>1</v>
      </c>
      <c r="J45" t="s">
        <v>701</v>
      </c>
      <c r="K45">
        <v>1</v>
      </c>
      <c r="M45" t="s">
        <v>32</v>
      </c>
      <c r="N45">
        <v>1</v>
      </c>
      <c r="P45">
        <v>4</v>
      </c>
      <c r="Q45">
        <f>FWY_Setup!F57</f>
        <v>0.05</v>
      </c>
      <c r="R45">
        <f>FWY_Setup!F64</f>
        <v>0.06</v>
      </c>
      <c r="S45">
        <f>FWY_Setup!F71</f>
        <v>0.06</v>
      </c>
      <c r="T45">
        <f>FWY_Setup!F78</f>
        <v>7.0000000000000007E-2</v>
      </c>
      <c r="U45">
        <f>FWY_Setup!F85</f>
        <v>0.1</v>
      </c>
      <c r="V45">
        <f>FWY_Setup!F92</f>
        <v>0.1</v>
      </c>
      <c r="W45">
        <f>FWY_Setup!F99</f>
        <v>0.1</v>
      </c>
    </row>
    <row r="46" spans="1:23" x14ac:dyDescent="0.25">
      <c r="A46" t="s">
        <v>20</v>
      </c>
      <c r="B46" t="s">
        <v>26</v>
      </c>
      <c r="E46">
        <v>1</v>
      </c>
      <c r="J46" t="s">
        <v>700</v>
      </c>
      <c r="K46">
        <v>1</v>
      </c>
      <c r="M46" t="s">
        <v>482</v>
      </c>
      <c r="N46">
        <v>1</v>
      </c>
      <c r="P46">
        <v>5</v>
      </c>
      <c r="Q46">
        <f>FWY_Setup!F58</f>
        <v>0</v>
      </c>
      <c r="R46">
        <f>FWY_Setup!F65</f>
        <v>0</v>
      </c>
      <c r="S46">
        <f>FWY_Setup!F72</f>
        <v>0</v>
      </c>
      <c r="T46">
        <f>FWY_Setup!F79</f>
        <v>0.01</v>
      </c>
      <c r="U46">
        <f>FWY_Setup!F86</f>
        <v>0.01</v>
      </c>
      <c r="V46">
        <f>FWY_Setup!F93</f>
        <v>0.01</v>
      </c>
      <c r="W46">
        <f>FWY_Setup!F100</f>
        <v>0.01</v>
      </c>
    </row>
    <row r="47" spans="1:23" x14ac:dyDescent="0.25">
      <c r="A47" t="s">
        <v>21</v>
      </c>
      <c r="B47" t="s">
        <v>28</v>
      </c>
      <c r="E47">
        <v>1</v>
      </c>
      <c r="J47" t="s">
        <v>699</v>
      </c>
      <c r="K47">
        <v>1</v>
      </c>
    </row>
    <row r="48" spans="1:23" x14ac:dyDescent="0.25">
      <c r="A48" t="s">
        <v>22</v>
      </c>
      <c r="B48" t="s">
        <v>29</v>
      </c>
      <c r="E48">
        <v>2</v>
      </c>
      <c r="I48" t="s">
        <v>494</v>
      </c>
      <c r="K48">
        <v>1</v>
      </c>
      <c r="M48" t="s">
        <v>488</v>
      </c>
      <c r="P48" t="s">
        <v>668</v>
      </c>
      <c r="Q48" t="s">
        <v>667</v>
      </c>
      <c r="R48" t="s">
        <v>666</v>
      </c>
    </row>
    <row r="49" spans="1:18" x14ac:dyDescent="0.25">
      <c r="B49" t="s">
        <v>30</v>
      </c>
      <c r="E49">
        <v>2</v>
      </c>
      <c r="I49" t="s">
        <v>493</v>
      </c>
      <c r="K49">
        <v>1</v>
      </c>
      <c r="M49" t="s">
        <v>29</v>
      </c>
      <c r="N49">
        <v>1</v>
      </c>
      <c r="P49">
        <v>4</v>
      </c>
      <c r="Q49">
        <v>2</v>
      </c>
      <c r="R49">
        <v>5</v>
      </c>
    </row>
    <row r="50" spans="1:18" x14ac:dyDescent="0.25">
      <c r="B50" t="s">
        <v>31</v>
      </c>
      <c r="E50">
        <v>2</v>
      </c>
      <c r="I50" t="s">
        <v>698</v>
      </c>
      <c r="K50">
        <v>1</v>
      </c>
      <c r="M50" t="s">
        <v>30</v>
      </c>
      <c r="N50">
        <v>1</v>
      </c>
      <c r="P50">
        <v>6</v>
      </c>
      <c r="Q50">
        <v>3</v>
      </c>
      <c r="R50">
        <v>6</v>
      </c>
    </row>
    <row r="51" spans="1:18" x14ac:dyDescent="0.25">
      <c r="B51" t="s">
        <v>32</v>
      </c>
      <c r="E51">
        <v>1</v>
      </c>
      <c r="I51" t="s">
        <v>697</v>
      </c>
      <c r="K51">
        <v>1</v>
      </c>
      <c r="M51" t="s">
        <v>31</v>
      </c>
      <c r="N51">
        <v>1</v>
      </c>
      <c r="P51">
        <v>8</v>
      </c>
      <c r="Q51">
        <v>4</v>
      </c>
      <c r="R51">
        <v>7</v>
      </c>
    </row>
    <row r="52" spans="1:18" x14ac:dyDescent="0.25">
      <c r="A52" t="s">
        <v>23</v>
      </c>
      <c r="B52" t="s">
        <v>33</v>
      </c>
      <c r="E52">
        <v>1</v>
      </c>
      <c r="G52" s="1" t="s">
        <v>111</v>
      </c>
      <c r="I52" t="s">
        <v>696</v>
      </c>
      <c r="K52">
        <v>1</v>
      </c>
      <c r="M52" t="s">
        <v>32</v>
      </c>
      <c r="N52">
        <v>1</v>
      </c>
      <c r="P52">
        <v>10</v>
      </c>
      <c r="R52">
        <v>8</v>
      </c>
    </row>
    <row r="53" spans="1:18" x14ac:dyDescent="0.25">
      <c r="A53" t="s">
        <v>24</v>
      </c>
      <c r="B53" t="s">
        <v>695</v>
      </c>
      <c r="D53">
        <v>1</v>
      </c>
      <c r="E53">
        <v>1</v>
      </c>
      <c r="G53" s="536">
        <v>5</v>
      </c>
      <c r="I53" t="s">
        <v>694</v>
      </c>
      <c r="K53">
        <v>1</v>
      </c>
      <c r="M53" t="s">
        <v>482</v>
      </c>
      <c r="N53">
        <v>1</v>
      </c>
    </row>
    <row r="54" spans="1:18" x14ac:dyDescent="0.25">
      <c r="B54" t="s">
        <v>37</v>
      </c>
      <c r="D54">
        <v>1</v>
      </c>
      <c r="E54">
        <v>1</v>
      </c>
      <c r="G54" s="536">
        <v>10</v>
      </c>
      <c r="P54" t="s">
        <v>667</v>
      </c>
      <c r="Q54">
        <v>2</v>
      </c>
    </row>
    <row r="55" spans="1:18" x14ac:dyDescent="0.25">
      <c r="B55" t="s">
        <v>481</v>
      </c>
      <c r="D55">
        <v>1</v>
      </c>
      <c r="E55">
        <v>1</v>
      </c>
      <c r="G55" s="536">
        <v>20</v>
      </c>
      <c r="M55" t="s">
        <v>487</v>
      </c>
      <c r="P55" t="s">
        <v>666</v>
      </c>
      <c r="Q55">
        <v>3</v>
      </c>
    </row>
    <row r="56" spans="1:18" x14ac:dyDescent="0.25">
      <c r="B56" t="s">
        <v>480</v>
      </c>
      <c r="D56">
        <v>3</v>
      </c>
      <c r="E56">
        <v>1</v>
      </c>
      <c r="M56" t="s">
        <v>29</v>
      </c>
      <c r="N56">
        <v>1</v>
      </c>
    </row>
    <row r="57" spans="1:18" x14ac:dyDescent="0.25">
      <c r="B57" t="s">
        <v>479</v>
      </c>
      <c r="D57">
        <v>2</v>
      </c>
      <c r="E57">
        <v>1</v>
      </c>
      <c r="M57" t="s">
        <v>30</v>
      </c>
      <c r="N57">
        <v>1</v>
      </c>
      <c r="P57">
        <v>1</v>
      </c>
      <c r="Q57">
        <f>VLOOKUP(P57,$P$42:$W$46,VLOOKUP($D$182,$P$49:$R$52,VLOOKUP($E$133,$P$54:$Q$55,2)))</f>
        <v>8.9999999999999993E-3</v>
      </c>
    </row>
    <row r="58" spans="1:18" x14ac:dyDescent="0.25">
      <c r="D58">
        <v>1</v>
      </c>
      <c r="E58">
        <v>1</v>
      </c>
      <c r="M58" t="s">
        <v>31</v>
      </c>
      <c r="N58">
        <v>1</v>
      </c>
      <c r="P58">
        <v>2</v>
      </c>
      <c r="Q58">
        <f>VLOOKUP(P58,$P$42:$W$46,VLOOKUP($D$182,$P$49:$R$52,VLOOKUP($E$133,$P$54:$Q$55,2)))</f>
        <v>3.0000000000000001E-3</v>
      </c>
    </row>
    <row r="59" spans="1:18" x14ac:dyDescent="0.25">
      <c r="A59" t="s">
        <v>25</v>
      </c>
      <c r="B59" t="s">
        <v>40</v>
      </c>
      <c r="E59">
        <v>1</v>
      </c>
      <c r="M59" t="s">
        <v>32</v>
      </c>
      <c r="N59">
        <v>1</v>
      </c>
      <c r="P59">
        <v>3</v>
      </c>
      <c r="Q59">
        <f>VLOOKUP(P59,$P$42:$W$46,VLOOKUP($D$182,$P$49:$R$52,VLOOKUP($E$133,$P$54:$Q$55,2)))</f>
        <v>0.08</v>
      </c>
    </row>
    <row r="60" spans="1:18" x14ac:dyDescent="0.25">
      <c r="B60" t="s">
        <v>41</v>
      </c>
      <c r="E60">
        <v>1</v>
      </c>
      <c r="M60" t="s">
        <v>482</v>
      </c>
      <c r="N60">
        <v>1</v>
      </c>
      <c r="P60">
        <v>4</v>
      </c>
      <c r="Q60">
        <f>VLOOKUP(P60,$P$42:$W$46,VLOOKUP($D$182,$P$49:$R$52,VLOOKUP($E$133,$P$54:$Q$55,2)))</f>
        <v>0.05</v>
      </c>
    </row>
    <row r="61" spans="1:18" x14ac:dyDescent="0.25">
      <c r="B61" t="s">
        <v>42</v>
      </c>
      <c r="E61">
        <v>1</v>
      </c>
      <c r="P61">
        <v>5</v>
      </c>
      <c r="Q61">
        <f>VLOOKUP(P61,$P$42:$W$46,VLOOKUP($D$182,$P$49:$R$52,VLOOKUP($E$133,$P$54:$Q$55,2)))</f>
        <v>0</v>
      </c>
    </row>
    <row r="62" spans="1:18" x14ac:dyDescent="0.25">
      <c r="B62" t="s">
        <v>43</v>
      </c>
      <c r="E62">
        <v>1</v>
      </c>
      <c r="M62" t="s">
        <v>486</v>
      </c>
    </row>
    <row r="63" spans="1:18" x14ac:dyDescent="0.25">
      <c r="B63" t="s">
        <v>44</v>
      </c>
      <c r="E63">
        <v>1</v>
      </c>
      <c r="M63" t="s">
        <v>29</v>
      </c>
      <c r="N63">
        <v>1</v>
      </c>
    </row>
    <row r="64" spans="1:18" x14ac:dyDescent="0.25">
      <c r="M64" t="s">
        <v>30</v>
      </c>
      <c r="N64">
        <v>1</v>
      </c>
    </row>
    <row r="65" spans="1:14" x14ac:dyDescent="0.25">
      <c r="M65" t="s">
        <v>31</v>
      </c>
      <c r="N65">
        <v>1</v>
      </c>
    </row>
    <row r="66" spans="1:14" x14ac:dyDescent="0.25">
      <c r="A66" t="s">
        <v>45</v>
      </c>
      <c r="M66" t="s">
        <v>32</v>
      </c>
      <c r="N66">
        <v>1</v>
      </c>
    </row>
    <row r="67" spans="1:14" x14ac:dyDescent="0.25">
      <c r="A67" t="s">
        <v>546</v>
      </c>
      <c r="F67" t="s">
        <v>693</v>
      </c>
      <c r="G67">
        <v>1</v>
      </c>
      <c r="M67" t="s">
        <v>482</v>
      </c>
      <c r="N67">
        <v>1</v>
      </c>
    </row>
    <row r="68" spans="1:14" x14ac:dyDescent="0.25">
      <c r="F68" t="s">
        <v>692</v>
      </c>
      <c r="G68">
        <v>1</v>
      </c>
    </row>
    <row r="69" spans="1:14" x14ac:dyDescent="0.25">
      <c r="A69" t="s">
        <v>48</v>
      </c>
      <c r="B69" t="s">
        <v>50</v>
      </c>
      <c r="E69">
        <v>0</v>
      </c>
      <c r="F69" t="s">
        <v>691</v>
      </c>
      <c r="G69">
        <v>1</v>
      </c>
      <c r="M69" t="s">
        <v>485</v>
      </c>
    </row>
    <row r="70" spans="1:14" x14ac:dyDescent="0.25">
      <c r="B70" t="s">
        <v>51</v>
      </c>
      <c r="F70" t="s">
        <v>690</v>
      </c>
      <c r="G70">
        <v>1</v>
      </c>
      <c r="M70" t="s">
        <v>29</v>
      </c>
      <c r="N70">
        <v>1</v>
      </c>
    </row>
    <row r="71" spans="1:14" x14ac:dyDescent="0.25">
      <c r="B71" t="s">
        <v>52</v>
      </c>
      <c r="F71" t="s">
        <v>689</v>
      </c>
      <c r="G71">
        <v>1</v>
      </c>
      <c r="M71" t="s">
        <v>30</v>
      </c>
      <c r="N71">
        <v>1</v>
      </c>
    </row>
    <row r="72" spans="1:14" x14ac:dyDescent="0.25">
      <c r="B72" t="s">
        <v>53</v>
      </c>
      <c r="M72" t="s">
        <v>31</v>
      </c>
      <c r="N72">
        <v>1</v>
      </c>
    </row>
    <row r="73" spans="1:14" x14ac:dyDescent="0.25">
      <c r="A73" t="s">
        <v>49</v>
      </c>
      <c r="B73" t="s">
        <v>40</v>
      </c>
      <c r="E73">
        <v>0</v>
      </c>
      <c r="M73" t="s">
        <v>32</v>
      </c>
      <c r="N73">
        <v>1</v>
      </c>
    </row>
    <row r="74" spans="1:14" x14ac:dyDescent="0.25">
      <c r="B74" t="s">
        <v>54</v>
      </c>
      <c r="M74" t="s">
        <v>482</v>
      </c>
      <c r="N74">
        <v>1</v>
      </c>
    </row>
    <row r="75" spans="1:14" x14ac:dyDescent="0.25">
      <c r="B75" t="s">
        <v>42</v>
      </c>
    </row>
    <row r="76" spans="1:14" x14ac:dyDescent="0.25">
      <c r="B76" t="s">
        <v>43</v>
      </c>
      <c r="M76" t="s">
        <v>484</v>
      </c>
    </row>
    <row r="77" spans="1:14" x14ac:dyDescent="0.25">
      <c r="B77" t="s">
        <v>44</v>
      </c>
      <c r="M77" t="s">
        <v>29</v>
      </c>
      <c r="N77">
        <v>1</v>
      </c>
    </row>
    <row r="78" spans="1:14" x14ac:dyDescent="0.25">
      <c r="M78" t="s">
        <v>30</v>
      </c>
      <c r="N78">
        <v>1</v>
      </c>
    </row>
    <row r="79" spans="1:14" x14ac:dyDescent="0.25">
      <c r="B79" t="s">
        <v>202</v>
      </c>
      <c r="C79" t="s">
        <v>203</v>
      </c>
      <c r="D79" t="s">
        <v>204</v>
      </c>
      <c r="M79" t="s">
        <v>31</v>
      </c>
      <c r="N79">
        <v>1</v>
      </c>
    </row>
    <row r="80" spans="1:14" x14ac:dyDescent="0.25">
      <c r="A80">
        <v>1</v>
      </c>
      <c r="B80" t="s">
        <v>176</v>
      </c>
      <c r="C80" s="371">
        <v>10.5</v>
      </c>
      <c r="D80" s="371" t="str">
        <f>""</f>
        <v/>
      </c>
      <c r="I80" t="str">
        <f>IF(J7=TRUE,"Widen lanes into median","")</f>
        <v/>
      </c>
      <c r="J80">
        <v>1</v>
      </c>
      <c r="M80" t="s">
        <v>32</v>
      </c>
      <c r="N80">
        <v>1</v>
      </c>
    </row>
    <row r="81" spans="1:14" x14ac:dyDescent="0.25">
      <c r="A81">
        <v>2</v>
      </c>
      <c r="C81" s="371">
        <v>11</v>
      </c>
      <c r="D81" s="371" t="str">
        <f>IF(J7=TRUE,IF(C88&gt;1,"",11),"")</f>
        <v/>
      </c>
      <c r="I81" t="str">
        <f>IF(J7=TRUE,"Widen lanes toward outside","")</f>
        <v/>
      </c>
      <c r="M81" t="s">
        <v>482</v>
      </c>
      <c r="N81">
        <v>1</v>
      </c>
    </row>
    <row r="82" spans="1:14" x14ac:dyDescent="0.25">
      <c r="A82">
        <v>3</v>
      </c>
      <c r="C82" s="371">
        <v>11.5</v>
      </c>
      <c r="D82" s="371" t="str">
        <f>IF(J7=TRUE,IF(C88&gt;2,"",11.5),"")</f>
        <v/>
      </c>
    </row>
    <row r="83" spans="1:14" x14ac:dyDescent="0.25">
      <c r="A83">
        <v>4</v>
      </c>
      <c r="C83" s="371">
        <v>12</v>
      </c>
      <c r="D83" s="371" t="str">
        <f>IF(J7=TRUE,IF(C88&gt;3,"",12),"")</f>
        <v/>
      </c>
      <c r="I83" t="s">
        <v>688</v>
      </c>
      <c r="J83">
        <f>IF(J80=2,FWY_Project!C20,FWY_Project!C20-D182*(FWY_Ref!N7-FWY_Ref!E88))</f>
        <v>30</v>
      </c>
      <c r="M83" t="s">
        <v>483</v>
      </c>
    </row>
    <row r="84" spans="1:14" x14ac:dyDescent="0.25">
      <c r="A84">
        <v>5</v>
      </c>
      <c r="C84" s="371">
        <v>12.5</v>
      </c>
      <c r="D84" s="371" t="str">
        <f>IF(J7=TRUE,IF(C88&gt;4,"",12.5),"")</f>
        <v/>
      </c>
      <c r="M84" t="s">
        <v>29</v>
      </c>
      <c r="N84">
        <v>1</v>
      </c>
    </row>
    <row r="85" spans="1:14" x14ac:dyDescent="0.25">
      <c r="A85">
        <v>6</v>
      </c>
      <c r="C85" s="371">
        <v>13</v>
      </c>
      <c r="D85" s="371" t="str">
        <f>IF(J7=TRUE,IF(C88&gt;5,"",13),"")</f>
        <v/>
      </c>
      <c r="I85" t="s">
        <v>687</v>
      </c>
      <c r="J85">
        <f>0.5*(FWY_Project!C20-2*FWY_Ref!E112)*IF(K131=0,0,1/K131)</f>
        <v>2.1666666666666665</v>
      </c>
      <c r="M85" t="s">
        <v>30</v>
      </c>
      <c r="N85">
        <v>1</v>
      </c>
    </row>
    <row r="86" spans="1:14" x14ac:dyDescent="0.25">
      <c r="A86">
        <v>7</v>
      </c>
      <c r="C86" s="371">
        <v>13.5</v>
      </c>
      <c r="D86" s="371" t="str">
        <f>IF(J7=TRUE,IF(C88&gt;6,"",13.5),"")</f>
        <v/>
      </c>
      <c r="I86" t="s">
        <v>686</v>
      </c>
      <c r="J86">
        <f>0.5*(J83-2*N9)*IF(K131=0,0,1/K131)</f>
        <v>2.1666666666666665</v>
      </c>
      <c r="M86" t="s">
        <v>31</v>
      </c>
      <c r="N86">
        <v>1</v>
      </c>
    </row>
    <row r="87" spans="1:14" x14ac:dyDescent="0.25">
      <c r="A87">
        <v>8</v>
      </c>
      <c r="C87" s="371">
        <v>14</v>
      </c>
      <c r="D87" s="371" t="str">
        <f>IF(J7=TRUE,IF(C88&gt;7,"",14),"")</f>
        <v/>
      </c>
      <c r="M87" t="s">
        <v>32</v>
      </c>
      <c r="N87">
        <v>1</v>
      </c>
    </row>
    <row r="88" spans="1:14" x14ac:dyDescent="0.25">
      <c r="B88" t="s">
        <v>179</v>
      </c>
      <c r="C88">
        <v>4</v>
      </c>
      <c r="D88">
        <v>4</v>
      </c>
      <c r="E88">
        <f>VLOOKUP(C88,A80:C87,3)</f>
        <v>12</v>
      </c>
      <c r="F88" t="str">
        <f>VLOOKUP(D88,A80:D87,4)</f>
        <v/>
      </c>
      <c r="M88" t="s">
        <v>482</v>
      </c>
      <c r="N88">
        <v>1</v>
      </c>
    </row>
    <row r="89" spans="1:14" x14ac:dyDescent="0.25">
      <c r="A89">
        <v>1</v>
      </c>
      <c r="B89" t="s">
        <v>451</v>
      </c>
      <c r="C89" s="57">
        <v>4</v>
      </c>
      <c r="D89" s="57" t="str">
        <f>""</f>
        <v/>
      </c>
    </row>
    <row r="90" spans="1:14" x14ac:dyDescent="0.25">
      <c r="A90">
        <v>2</v>
      </c>
      <c r="C90" s="57">
        <v>5</v>
      </c>
      <c r="D90" s="57" t="str">
        <f>IF(J8=TRUE,IF($C$100&gt;1,"",5),"")</f>
        <v/>
      </c>
    </row>
    <row r="91" spans="1:14" x14ac:dyDescent="0.25">
      <c r="A91">
        <v>3</v>
      </c>
      <c r="C91" s="57">
        <v>6</v>
      </c>
      <c r="D91" s="57" t="str">
        <f>IF(J8=TRUE,IF($C$100&gt;2,"",6),"")</f>
        <v/>
      </c>
    </row>
    <row r="92" spans="1:14" x14ac:dyDescent="0.25">
      <c r="A92">
        <v>4</v>
      </c>
      <c r="C92" s="57">
        <v>7</v>
      </c>
      <c r="D92" s="57" t="str">
        <f>IF(J8=TRUE,IF($C$100&gt;3,"",7),"")</f>
        <v/>
      </c>
    </row>
    <row r="93" spans="1:14" x14ac:dyDescent="0.25">
      <c r="A93">
        <v>5</v>
      </c>
      <c r="C93" s="57">
        <v>8</v>
      </c>
      <c r="D93" s="57" t="str">
        <f>IF(J8=TRUE,IF($C$100&gt;4,"",8),"")</f>
        <v/>
      </c>
    </row>
    <row r="94" spans="1:14" x14ac:dyDescent="0.25">
      <c r="A94">
        <v>6</v>
      </c>
      <c r="C94" s="57">
        <v>9</v>
      </c>
      <c r="D94" s="57" t="str">
        <f>IF(J8=TRUE,IF($C$100&gt;5,"",9),"")</f>
        <v/>
      </c>
    </row>
    <row r="95" spans="1:14" x14ac:dyDescent="0.25">
      <c r="A95">
        <v>7</v>
      </c>
      <c r="C95" s="57">
        <v>10</v>
      </c>
      <c r="D95" s="57" t="str">
        <f>IF(J8=TRUE,IF($C$100&gt;6,"",10),"")</f>
        <v/>
      </c>
    </row>
    <row r="96" spans="1:14" x14ac:dyDescent="0.25">
      <c r="A96">
        <v>8</v>
      </c>
      <c r="C96" s="57">
        <v>11</v>
      </c>
      <c r="D96" s="57" t="str">
        <f>IF(J8=TRUE,IF($C$100&gt;7,"",11),"")</f>
        <v/>
      </c>
    </row>
    <row r="97" spans="1:6" x14ac:dyDescent="0.25">
      <c r="A97">
        <v>9</v>
      </c>
      <c r="C97" s="57">
        <v>12</v>
      </c>
      <c r="D97" s="57" t="str">
        <f>IF(J8=TRUE,IF($C$100&gt;8,"",12),"")</f>
        <v/>
      </c>
    </row>
    <row r="98" spans="1:6" x14ac:dyDescent="0.25">
      <c r="A98">
        <v>10</v>
      </c>
      <c r="C98" s="57">
        <v>13</v>
      </c>
      <c r="D98" s="57" t="str">
        <f>IF(J8=TRUE,IF($C$100&gt;9,"",13),"")</f>
        <v/>
      </c>
    </row>
    <row r="99" spans="1:6" x14ac:dyDescent="0.25">
      <c r="A99">
        <v>11</v>
      </c>
      <c r="C99" s="57">
        <v>14</v>
      </c>
      <c r="D99" s="57" t="str">
        <f>IF(J8=TRUE,IF($C$100&gt;10,"",14),"")</f>
        <v/>
      </c>
    </row>
    <row r="100" spans="1:6" x14ac:dyDescent="0.25">
      <c r="B100" t="s">
        <v>685</v>
      </c>
      <c r="C100">
        <v>3</v>
      </c>
      <c r="D100">
        <v>5</v>
      </c>
      <c r="E100">
        <f>VLOOKUP(C100,A89:C99,3)</f>
        <v>6</v>
      </c>
      <c r="F100" t="str">
        <f>VLOOKUP(D100,A89:D99,4)</f>
        <v/>
      </c>
    </row>
    <row r="101" spans="1:6" x14ac:dyDescent="0.25">
      <c r="A101">
        <v>1</v>
      </c>
      <c r="B101" t="s">
        <v>450</v>
      </c>
      <c r="C101" s="57">
        <v>2</v>
      </c>
      <c r="D101" s="57" t="str">
        <f>""</f>
        <v/>
      </c>
    </row>
    <row r="102" spans="1:6" x14ac:dyDescent="0.25">
      <c r="A102">
        <v>2</v>
      </c>
      <c r="C102" s="57">
        <v>3</v>
      </c>
      <c r="D102" s="57" t="str">
        <f>IF(J9=TRUE,IF($C$112&gt;1,"",3),"")</f>
        <v/>
      </c>
    </row>
    <row r="103" spans="1:6" x14ac:dyDescent="0.25">
      <c r="A103">
        <v>3</v>
      </c>
      <c r="C103" s="57">
        <v>4</v>
      </c>
      <c r="D103" s="57" t="str">
        <f>IF(J9=TRUE,IF($C$112&gt;2,"",4),"")</f>
        <v/>
      </c>
    </row>
    <row r="104" spans="1:6" x14ac:dyDescent="0.25">
      <c r="A104">
        <v>4</v>
      </c>
      <c r="C104" s="57">
        <v>5</v>
      </c>
      <c r="D104" s="57" t="str">
        <f>IF(J9=TRUE,IF($C$112&gt;3,"",5),"")</f>
        <v/>
      </c>
    </row>
    <row r="105" spans="1:6" x14ac:dyDescent="0.25">
      <c r="A105">
        <v>5</v>
      </c>
      <c r="C105" s="57">
        <v>6</v>
      </c>
      <c r="D105" s="57" t="str">
        <f>IF(J9=TRUE,IF($C$112&gt;4,"",6),"")</f>
        <v/>
      </c>
    </row>
    <row r="106" spans="1:6" x14ac:dyDescent="0.25">
      <c r="A106">
        <v>6</v>
      </c>
      <c r="C106" s="57">
        <v>7</v>
      </c>
      <c r="D106" s="57" t="str">
        <f>IF(J9=TRUE,IF($C$112&gt;5,"",7),"")</f>
        <v/>
      </c>
    </row>
    <row r="107" spans="1:6" x14ac:dyDescent="0.25">
      <c r="A107">
        <v>7</v>
      </c>
      <c r="C107" s="57">
        <v>8</v>
      </c>
      <c r="D107" s="57" t="str">
        <f>IF(J9=TRUE,IF($C$112&gt;6,"",8),"")</f>
        <v/>
      </c>
    </row>
    <row r="108" spans="1:6" x14ac:dyDescent="0.25">
      <c r="A108">
        <v>8</v>
      </c>
      <c r="C108" s="57">
        <v>9</v>
      </c>
      <c r="D108" s="57" t="str">
        <f>IF(J9=TRUE,IF($C$112&gt;7,"",9),"")</f>
        <v/>
      </c>
    </row>
    <row r="109" spans="1:6" x14ac:dyDescent="0.25">
      <c r="A109">
        <v>9</v>
      </c>
      <c r="C109" s="57">
        <v>10</v>
      </c>
      <c r="D109" s="57" t="str">
        <f>IF(J9=TRUE,IF($C$112&gt;8,"",10),"")</f>
        <v/>
      </c>
    </row>
    <row r="110" spans="1:6" x14ac:dyDescent="0.25">
      <c r="A110">
        <v>10</v>
      </c>
      <c r="C110" s="57">
        <v>11</v>
      </c>
      <c r="D110" s="57" t="str">
        <f>IF(J9=TRUE,IF($C$112&gt;9,"",11),"")</f>
        <v/>
      </c>
    </row>
    <row r="111" spans="1:6" x14ac:dyDescent="0.25">
      <c r="A111">
        <v>11</v>
      </c>
      <c r="C111" s="57">
        <v>12</v>
      </c>
      <c r="D111" s="57" t="str">
        <f>IF(J9=TRUE,IF($C$112&gt;10,"",12),"")</f>
        <v/>
      </c>
    </row>
    <row r="112" spans="1:6" x14ac:dyDescent="0.25">
      <c r="B112" t="s">
        <v>684</v>
      </c>
      <c r="C112">
        <v>1</v>
      </c>
      <c r="D112">
        <v>11</v>
      </c>
      <c r="E112">
        <f>VLOOKUP(C112,A101:C111,3)</f>
        <v>2</v>
      </c>
      <c r="F112" t="str">
        <f>VLOOKUP(D112,A101:D111,4)</f>
        <v/>
      </c>
    </row>
    <row r="113" spans="1:10" x14ac:dyDescent="0.25">
      <c r="A113">
        <v>1</v>
      </c>
      <c r="B113" t="s">
        <v>175</v>
      </c>
      <c r="C113" t="s">
        <v>182</v>
      </c>
    </row>
    <row r="114" spans="1:10" x14ac:dyDescent="0.25">
      <c r="A114">
        <v>2</v>
      </c>
      <c r="C114" t="s">
        <v>183</v>
      </c>
      <c r="D114" t="str">
        <f>IF(J10=TRUE,IF($C$117&gt;1,"","1V:3H"),"")</f>
        <v/>
      </c>
    </row>
    <row r="115" spans="1:10" x14ac:dyDescent="0.25">
      <c r="A115">
        <v>3</v>
      </c>
      <c r="C115" t="s">
        <v>184</v>
      </c>
      <c r="D115" t="str">
        <f>IF(J10=TRUE,IF($C$117&gt;2,"","1V:4H"),"")</f>
        <v/>
      </c>
    </row>
    <row r="116" spans="1:10" x14ac:dyDescent="0.25">
      <c r="A116">
        <v>4</v>
      </c>
      <c r="C116" t="s">
        <v>185</v>
      </c>
      <c r="D116" t="str">
        <f>IF(J10=TRUE,IF($C$117&gt;3,"","1V:6H"),"")</f>
        <v/>
      </c>
    </row>
    <row r="117" spans="1:10" x14ac:dyDescent="0.25">
      <c r="C117">
        <v>2</v>
      </c>
      <c r="D117">
        <v>3</v>
      </c>
      <c r="E117" t="str">
        <f>VLOOKUP(C117,A113:C116,3)</f>
        <v>1V:3H</v>
      </c>
      <c r="F117" t="str">
        <f>VLOOKUP(D117,A113:D116,4)</f>
        <v/>
      </c>
    </row>
    <row r="118" spans="1:10" x14ac:dyDescent="0.25">
      <c r="B118" t="s">
        <v>73</v>
      </c>
      <c r="C118" t="str">
        <f>IF(D133=1,"Yes","Not Applicable")</f>
        <v>Yes</v>
      </c>
    </row>
    <row r="119" spans="1:10" x14ac:dyDescent="0.25">
      <c r="C119" t="str">
        <f>IF(D133=1,"No","Not Applicable")</f>
        <v>No</v>
      </c>
    </row>
    <row r="120" spans="1:10" x14ac:dyDescent="0.25">
      <c r="B120" t="s">
        <v>188</v>
      </c>
      <c r="C120">
        <v>1</v>
      </c>
    </row>
    <row r="121" spans="1:10" x14ac:dyDescent="0.25">
      <c r="B121" t="s">
        <v>463</v>
      </c>
      <c r="C121" t="s">
        <v>186</v>
      </c>
      <c r="F121" t="s">
        <v>683</v>
      </c>
      <c r="G121" t="s">
        <v>186</v>
      </c>
      <c r="I121" t="s">
        <v>720</v>
      </c>
    </row>
    <row r="122" spans="1:10" x14ac:dyDescent="0.25">
      <c r="C122" t="s">
        <v>187</v>
      </c>
      <c r="G122" t="s">
        <v>187</v>
      </c>
      <c r="I122" t="str">
        <f>IF($J$11=TRUE,"Guardrail","")</f>
        <v/>
      </c>
    </row>
    <row r="123" spans="1:10" x14ac:dyDescent="0.25">
      <c r="B123" t="s">
        <v>682</v>
      </c>
      <c r="C123">
        <v>2</v>
      </c>
      <c r="F123" t="s">
        <v>681</v>
      </c>
      <c r="G123">
        <v>2</v>
      </c>
      <c r="I123" t="str">
        <f>IF($J$11=TRUE,"Cable Barrier","")</f>
        <v/>
      </c>
    </row>
    <row r="124" spans="1:10" x14ac:dyDescent="0.25">
      <c r="B124" t="s">
        <v>194</v>
      </c>
      <c r="C124" t="s">
        <v>186</v>
      </c>
      <c r="I124" t="str">
        <f>IF($J$11=TRUE,"Concrete Barrier","")</f>
        <v/>
      </c>
    </row>
    <row r="125" spans="1:10" x14ac:dyDescent="0.25">
      <c r="C125" t="s">
        <v>187</v>
      </c>
    </row>
    <row r="126" spans="1:10" x14ac:dyDescent="0.25">
      <c r="I126" t="s">
        <v>457</v>
      </c>
      <c r="J126" t="s">
        <v>680</v>
      </c>
    </row>
    <row r="127" spans="1:10" x14ac:dyDescent="0.25">
      <c r="B127" t="s">
        <v>448</v>
      </c>
      <c r="C127" t="s">
        <v>679</v>
      </c>
      <c r="E127">
        <v>0</v>
      </c>
      <c r="F127" t="s">
        <v>439</v>
      </c>
      <c r="G127" t="s">
        <v>186</v>
      </c>
      <c r="I127" t="str">
        <f>IF(C131=4,"","Guardrail")</f>
        <v/>
      </c>
      <c r="J127" t="str">
        <f>IF(G129=2,"","Guardrail")</f>
        <v/>
      </c>
    </row>
    <row r="128" spans="1:10" x14ac:dyDescent="0.25">
      <c r="C128" t="s">
        <v>678</v>
      </c>
      <c r="E128">
        <v>0</v>
      </c>
      <c r="G128" t="s">
        <v>187</v>
      </c>
      <c r="I128" t="str">
        <f>IF(C131=4,"","Cable Barrier")</f>
        <v/>
      </c>
      <c r="J128" t="str">
        <f>IF(G129=2,"","Cable Barrier")</f>
        <v/>
      </c>
    </row>
    <row r="129" spans="1:11" x14ac:dyDescent="0.25">
      <c r="C129" t="s">
        <v>677</v>
      </c>
      <c r="E129">
        <v>1</v>
      </c>
      <c r="G129">
        <v>2</v>
      </c>
      <c r="I129" t="str">
        <f>IF(C131=4,"","Concrete Barrier")</f>
        <v/>
      </c>
      <c r="J129" t="str">
        <f>IF(G129=2,"","Concrete Barrier")</f>
        <v/>
      </c>
    </row>
    <row r="130" spans="1:11" x14ac:dyDescent="0.25">
      <c r="C130" t="s">
        <v>676</v>
      </c>
      <c r="E130">
        <v>0</v>
      </c>
    </row>
    <row r="131" spans="1:11" x14ac:dyDescent="0.25">
      <c r="C131">
        <v>4</v>
      </c>
      <c r="E131">
        <v>1</v>
      </c>
      <c r="F131" t="s">
        <v>664</v>
      </c>
      <c r="G131" t="s">
        <v>186</v>
      </c>
      <c r="I131" t="s">
        <v>464</v>
      </c>
      <c r="J131">
        <v>4</v>
      </c>
      <c r="K131" t="str">
        <f>IF(J131=5,0,MID(VLOOKUP(J131,H132:I135,2),4,1))</f>
        <v>6</v>
      </c>
    </row>
    <row r="132" spans="1:11" x14ac:dyDescent="0.25">
      <c r="G132" t="s">
        <v>187</v>
      </c>
      <c r="H132">
        <v>1</v>
      </c>
      <c r="I132" t="s">
        <v>182</v>
      </c>
    </row>
    <row r="133" spans="1:11" x14ac:dyDescent="0.25">
      <c r="B133" t="s">
        <v>471</v>
      </c>
      <c r="C133" t="s">
        <v>667</v>
      </c>
      <c r="D133">
        <v>1</v>
      </c>
      <c r="E133" t="str">
        <f>IF(D133=1,"Rural","Urban")</f>
        <v>Rural</v>
      </c>
      <c r="G133">
        <v>2</v>
      </c>
      <c r="H133">
        <v>2</v>
      </c>
      <c r="I133" t="s">
        <v>183</v>
      </c>
    </row>
    <row r="134" spans="1:11" x14ac:dyDescent="0.25">
      <c r="C134" t="s">
        <v>666</v>
      </c>
      <c r="H134">
        <v>3</v>
      </c>
      <c r="I134" t="s">
        <v>184</v>
      </c>
    </row>
    <row r="135" spans="1:11" x14ac:dyDescent="0.25">
      <c r="A135" t="s">
        <v>275</v>
      </c>
      <c r="H135">
        <v>4</v>
      </c>
      <c r="I135" t="s">
        <v>185</v>
      </c>
    </row>
    <row r="136" spans="1:11" x14ac:dyDescent="0.25">
      <c r="I136" t="s">
        <v>675</v>
      </c>
    </row>
    <row r="137" spans="1:11" x14ac:dyDescent="0.25">
      <c r="A137" t="s">
        <v>59</v>
      </c>
      <c r="B137" t="s">
        <v>276</v>
      </c>
      <c r="C137" t="s">
        <v>277</v>
      </c>
      <c r="D137" t="s">
        <v>278</v>
      </c>
    </row>
    <row r="138" spans="1:11" x14ac:dyDescent="0.25">
      <c r="A138">
        <v>9</v>
      </c>
      <c r="B138">
        <f>IF($D$133=1,1.04,1.03)</f>
        <v>1.04</v>
      </c>
      <c r="C138">
        <f>IF($D$133=1,1.04+2.13*10^(-4)*(FWY_Project!$C$6-400),1.03+1.38*10^(-4)*(FWY_Project!$C$6-400))</f>
        <v>9.4747999999999983</v>
      </c>
      <c r="D138">
        <f>IF($D$133=1,1.38,1.25)</f>
        <v>1.38</v>
      </c>
    </row>
    <row r="139" spans="1:11" x14ac:dyDescent="0.25">
      <c r="A139">
        <v>10</v>
      </c>
      <c r="B139">
        <f>IF($D$133=1,1.02,1.01)</f>
        <v>1.02</v>
      </c>
      <c r="C139">
        <f>IF($D$133=1,1.02+1.31*10^(-4)*(FWY_Project!$C$6-400),1.01+8.75*10^(-4)*(FWY_Project!$C$6-400))</f>
        <v>6.2076000000000011</v>
      </c>
      <c r="D139">
        <f>IF($D$133=1,1.23,1.15)</f>
        <v>1.23</v>
      </c>
    </row>
    <row r="140" spans="1:11" x14ac:dyDescent="0.25">
      <c r="A140">
        <v>11</v>
      </c>
      <c r="B140">
        <f>IF($D$133=1,1.01,1.01)</f>
        <v>1.01</v>
      </c>
      <c r="C140">
        <f>IF($D$133=1,1.01+1.88*10^(-5)*(FWY_Project!$C$6-400),1.01+1.25*10^(-5)*(FWY_Project!$C$6-400))</f>
        <v>1.75448</v>
      </c>
      <c r="D140">
        <f>IF($D$133=1,1.04,1.03)</f>
        <v>1.04</v>
      </c>
    </row>
    <row r="141" spans="1:11" x14ac:dyDescent="0.25">
      <c r="A141">
        <v>12</v>
      </c>
      <c r="B141">
        <f>IF($D$133=1,1,1)</f>
        <v>1</v>
      </c>
      <c r="C141">
        <v>1</v>
      </c>
      <c r="D141">
        <v>1</v>
      </c>
    </row>
    <row r="144" spans="1:11" x14ac:dyDescent="0.25">
      <c r="A144" t="s">
        <v>300</v>
      </c>
      <c r="B144">
        <v>2</v>
      </c>
    </row>
    <row r="145" spans="1:4" x14ac:dyDescent="0.25">
      <c r="A145" t="s">
        <v>277</v>
      </c>
      <c r="B145">
        <v>3</v>
      </c>
    </row>
    <row r="146" spans="1:4" x14ac:dyDescent="0.25">
      <c r="A146" t="s">
        <v>299</v>
      </c>
      <c r="B146">
        <v>4</v>
      </c>
    </row>
    <row r="149" spans="1:4" x14ac:dyDescent="0.25">
      <c r="A149" t="s">
        <v>279</v>
      </c>
      <c r="B149" t="s">
        <v>276</v>
      </c>
      <c r="C149" t="s">
        <v>277</v>
      </c>
      <c r="D149" t="s">
        <v>278</v>
      </c>
    </row>
    <row r="150" spans="1:4" x14ac:dyDescent="0.25">
      <c r="A150">
        <v>0</v>
      </c>
      <c r="B150">
        <v>1.1000000000000001</v>
      </c>
      <c r="C150">
        <f>1.1+2.5*10^(-4)*(FWY_Project!C6-400)</f>
        <v>11</v>
      </c>
      <c r="D150">
        <v>1.5</v>
      </c>
    </row>
    <row r="151" spans="1:4" x14ac:dyDescent="0.25">
      <c r="A151">
        <v>2</v>
      </c>
      <c r="B151">
        <v>1.07</v>
      </c>
      <c r="C151">
        <f>1.07+1.43*10^(-4)*(FWY_Project!C6-400)</f>
        <v>6.7328000000000001</v>
      </c>
      <c r="D151">
        <v>1.3</v>
      </c>
    </row>
    <row r="152" spans="1:4" x14ac:dyDescent="0.25">
      <c r="A152">
        <v>4</v>
      </c>
      <c r="B152">
        <v>1.02</v>
      </c>
      <c r="C152">
        <f>1.02+8.125*10^(-5)*(FWY_Project!C6-400)</f>
        <v>4.2375000000000007</v>
      </c>
      <c r="D152">
        <v>1.1499999999999999</v>
      </c>
    </row>
    <row r="153" spans="1:4" x14ac:dyDescent="0.25">
      <c r="A153">
        <v>6</v>
      </c>
      <c r="B153">
        <v>1</v>
      </c>
      <c r="C153">
        <v>1</v>
      </c>
      <c r="D153">
        <v>1</v>
      </c>
    </row>
    <row r="154" spans="1:4" x14ac:dyDescent="0.25">
      <c r="A154">
        <v>8</v>
      </c>
      <c r="B154">
        <v>0.98</v>
      </c>
      <c r="C154">
        <f>0.98-6.875*10^(-5)*(FWY_Project!C6-400)</f>
        <v>-1.7425000000000002</v>
      </c>
      <c r="D154">
        <v>0.87</v>
      </c>
    </row>
    <row r="157" spans="1:4" x14ac:dyDescent="0.25">
      <c r="A157" t="s">
        <v>300</v>
      </c>
      <c r="B157">
        <v>2</v>
      </c>
    </row>
    <row r="158" spans="1:4" x14ac:dyDescent="0.25">
      <c r="A158" t="s">
        <v>277</v>
      </c>
      <c r="B158">
        <v>3</v>
      </c>
    </row>
    <row r="159" spans="1:4" x14ac:dyDescent="0.25">
      <c r="A159" t="s">
        <v>299</v>
      </c>
      <c r="B159">
        <v>4</v>
      </c>
    </row>
    <row r="162" spans="1:6" x14ac:dyDescent="0.25">
      <c r="A162" t="s">
        <v>280</v>
      </c>
      <c r="B162">
        <v>0</v>
      </c>
      <c r="C162">
        <v>2</v>
      </c>
      <c r="D162">
        <v>4</v>
      </c>
      <c r="E162">
        <v>6</v>
      </c>
      <c r="F162">
        <v>8</v>
      </c>
    </row>
    <row r="163" spans="1:6" x14ac:dyDescent="0.25">
      <c r="A163">
        <v>1</v>
      </c>
      <c r="B163">
        <v>1</v>
      </c>
      <c r="C163">
        <v>1</v>
      </c>
      <c r="D163">
        <v>1</v>
      </c>
      <c r="E163">
        <v>1</v>
      </c>
      <c r="F163">
        <v>1</v>
      </c>
    </row>
    <row r="164" spans="1:6" x14ac:dyDescent="0.25">
      <c r="A164">
        <v>2</v>
      </c>
      <c r="B164">
        <v>1</v>
      </c>
      <c r="C164">
        <v>1.01</v>
      </c>
      <c r="D164">
        <v>1.01</v>
      </c>
      <c r="E164">
        <v>1.02</v>
      </c>
      <c r="F164">
        <v>1.02</v>
      </c>
    </row>
    <row r="165" spans="1:6" x14ac:dyDescent="0.25">
      <c r="A165">
        <v>3</v>
      </c>
      <c r="B165">
        <v>1</v>
      </c>
      <c r="C165">
        <v>1.02</v>
      </c>
      <c r="D165">
        <v>1.03</v>
      </c>
      <c r="E165">
        <v>1.04</v>
      </c>
      <c r="F165">
        <v>1.06</v>
      </c>
    </row>
    <row r="166" spans="1:6" x14ac:dyDescent="0.25">
      <c r="A166">
        <v>4</v>
      </c>
      <c r="B166">
        <v>1</v>
      </c>
      <c r="C166">
        <v>1.03</v>
      </c>
      <c r="D166">
        <v>1.05</v>
      </c>
      <c r="E166">
        <v>1.08</v>
      </c>
      <c r="F166">
        <v>1.1100000000000001</v>
      </c>
    </row>
    <row r="167" spans="1:6" x14ac:dyDescent="0.25">
      <c r="A167">
        <f>IF(FWY_Calculations!O15="Paved",1,IF(FWY_Calculations!O15="Gravel",2,IF(FWY_Calculations!O15="Composite",3,4)))</f>
        <v>4</v>
      </c>
      <c r="B167">
        <f>IF(FWY_Calculations!R15="Paved",1,IF(FWY_Calculations!R15="Gravel",2,IF(FWY_Calculations!R15="Composite",3,4)))</f>
        <v>4</v>
      </c>
    </row>
    <row r="169" spans="1:6" x14ac:dyDescent="0.25">
      <c r="A169">
        <v>0</v>
      </c>
      <c r="B169">
        <v>2</v>
      </c>
    </row>
    <row r="170" spans="1:6" x14ac:dyDescent="0.25">
      <c r="A170">
        <v>2</v>
      </c>
      <c r="B170">
        <v>3</v>
      </c>
    </row>
    <row r="171" spans="1:6" x14ac:dyDescent="0.25">
      <c r="A171">
        <v>4</v>
      </c>
      <c r="B171">
        <v>4</v>
      </c>
    </row>
    <row r="172" spans="1:6" x14ac:dyDescent="0.25">
      <c r="A172">
        <v>6</v>
      </c>
      <c r="B172">
        <v>5</v>
      </c>
    </row>
    <row r="173" spans="1:6" x14ac:dyDescent="0.25">
      <c r="A173">
        <v>8</v>
      </c>
      <c r="B173">
        <v>6</v>
      </c>
    </row>
    <row r="176" spans="1:6" x14ac:dyDescent="0.25">
      <c r="A176" t="s">
        <v>283</v>
      </c>
    </row>
    <row r="177" spans="1:8" x14ac:dyDescent="0.25">
      <c r="A177" t="s">
        <v>182</v>
      </c>
      <c r="B177">
        <v>1.18</v>
      </c>
    </row>
    <row r="178" spans="1:8" x14ac:dyDescent="0.25">
      <c r="A178" t="s">
        <v>183</v>
      </c>
      <c r="B178">
        <v>1.1499999999999999</v>
      </c>
    </row>
    <row r="179" spans="1:8" x14ac:dyDescent="0.25">
      <c r="A179" t="s">
        <v>184</v>
      </c>
      <c r="B179">
        <v>1.1200000000000001</v>
      </c>
    </row>
    <row r="180" spans="1:8" x14ac:dyDescent="0.25">
      <c r="A180" t="s">
        <v>185</v>
      </c>
      <c r="B180">
        <v>1.05</v>
      </c>
    </row>
    <row r="182" spans="1:8" x14ac:dyDescent="0.25">
      <c r="B182" t="s">
        <v>674</v>
      </c>
      <c r="C182">
        <v>1</v>
      </c>
      <c r="D182">
        <f>IF(C182=1,B183,IF(C182=2,B184,IF(C182=3,B185,IF(C182=4,B186,0))))</f>
        <v>4</v>
      </c>
    </row>
    <row r="183" spans="1:8" x14ac:dyDescent="0.25">
      <c r="B183">
        <v>4</v>
      </c>
    </row>
    <row r="184" spans="1:8" x14ac:dyDescent="0.25">
      <c r="B184">
        <v>6</v>
      </c>
    </row>
    <row r="185" spans="1:8" x14ac:dyDescent="0.25">
      <c r="B185">
        <v>8</v>
      </c>
    </row>
    <row r="186" spans="1:8" x14ac:dyDescent="0.25">
      <c r="B186" t="str">
        <f>IF(D133=2,10,"")</f>
        <v/>
      </c>
      <c r="G186">
        <v>1</v>
      </c>
      <c r="H186">
        <v>0.5</v>
      </c>
    </row>
    <row r="187" spans="1:8" x14ac:dyDescent="0.25">
      <c r="A187" t="s">
        <v>673</v>
      </c>
      <c r="G187">
        <v>1.2</v>
      </c>
      <c r="H187">
        <v>0.5</v>
      </c>
    </row>
    <row r="188" spans="1:8" x14ac:dyDescent="0.25">
      <c r="A188" t="s">
        <v>672</v>
      </c>
      <c r="B188">
        <f>VLOOKUP($D$182,A191:C194,VLOOKUP($E$133,$A$196:$B$197,2))</f>
        <v>-5.9749999999999996</v>
      </c>
      <c r="G188">
        <v>1.1000000000000001</v>
      </c>
      <c r="H188">
        <v>0.5</v>
      </c>
    </row>
    <row r="189" spans="1:8" x14ac:dyDescent="0.25">
      <c r="G189">
        <v>1.05</v>
      </c>
      <c r="H189">
        <v>0.5</v>
      </c>
    </row>
    <row r="190" spans="1:8" x14ac:dyDescent="0.25">
      <c r="A190" t="s">
        <v>668</v>
      </c>
      <c r="B190" t="s">
        <v>667</v>
      </c>
      <c r="C190" t="s">
        <v>666</v>
      </c>
      <c r="G190">
        <v>1</v>
      </c>
      <c r="H190">
        <v>0.5</v>
      </c>
    </row>
    <row r="191" spans="1:8" x14ac:dyDescent="0.25">
      <c r="A191">
        <v>4</v>
      </c>
      <c r="B191">
        <v>-5.9749999999999996</v>
      </c>
      <c r="C191">
        <v>-5.47</v>
      </c>
    </row>
    <row r="192" spans="1:8" x14ac:dyDescent="0.25">
      <c r="A192">
        <v>6</v>
      </c>
      <c r="B192">
        <v>-6.0919999999999996</v>
      </c>
      <c r="C192">
        <v>-5.5869999999999997</v>
      </c>
      <c r="G192">
        <f>G186*G187*G188*G189*G190-H186*H187*H188*H189*H190</f>
        <v>1.3547500000000001</v>
      </c>
    </row>
    <row r="193" spans="1:7" x14ac:dyDescent="0.25">
      <c r="A193">
        <v>8</v>
      </c>
      <c r="B193">
        <v>-6.14</v>
      </c>
      <c r="C193">
        <v>-5.6349999999999998</v>
      </c>
      <c r="G193">
        <f>1-H186/G186*H187/G187*H188/G188*H189/G189*H190/G190</f>
        <v>0.97745310245310246</v>
      </c>
    </row>
    <row r="194" spans="1:7" x14ac:dyDescent="0.25">
      <c r="A194">
        <v>10</v>
      </c>
      <c r="C194">
        <v>-5.8419999999999996</v>
      </c>
    </row>
    <row r="196" spans="1:7" x14ac:dyDescent="0.25">
      <c r="A196" t="s">
        <v>667</v>
      </c>
      <c r="B196">
        <v>2</v>
      </c>
      <c r="G196">
        <v>20</v>
      </c>
    </row>
    <row r="197" spans="1:7" x14ac:dyDescent="0.25">
      <c r="A197" t="s">
        <v>666</v>
      </c>
      <c r="B197">
        <v>3</v>
      </c>
    </row>
    <row r="198" spans="1:7" x14ac:dyDescent="0.25">
      <c r="G198">
        <f>G192*G196</f>
        <v>27.095000000000002</v>
      </c>
    </row>
    <row r="199" spans="1:7" x14ac:dyDescent="0.25">
      <c r="A199" t="s">
        <v>671</v>
      </c>
      <c r="B199">
        <f>VLOOKUP($D$182,A202:C205,VLOOKUP($E$133,$A$196:$B$197,2))</f>
        <v>-6.88</v>
      </c>
      <c r="G199">
        <f>G196*G186*G187*G188*G189*G190</f>
        <v>27.720000000000002</v>
      </c>
    </row>
    <row r="200" spans="1:7" x14ac:dyDescent="0.25">
      <c r="G200">
        <f>G196*H186*H187*H188*H189*H190</f>
        <v>0.625</v>
      </c>
    </row>
    <row r="201" spans="1:7" x14ac:dyDescent="0.25">
      <c r="A201" t="s">
        <v>668</v>
      </c>
      <c r="B201" t="s">
        <v>667</v>
      </c>
      <c r="C201" t="s">
        <v>666</v>
      </c>
      <c r="G201">
        <f>G196*G193</f>
        <v>19.549062049062048</v>
      </c>
    </row>
    <row r="202" spans="1:7" x14ac:dyDescent="0.25">
      <c r="A202">
        <v>4</v>
      </c>
      <c r="B202">
        <v>-6.88</v>
      </c>
      <c r="C202">
        <v>-6.548</v>
      </c>
    </row>
    <row r="203" spans="1:7" x14ac:dyDescent="0.25">
      <c r="A203">
        <v>6</v>
      </c>
      <c r="B203">
        <v>-7.141</v>
      </c>
      <c r="C203">
        <v>-6.8090000000000002</v>
      </c>
      <c r="E203" t="s">
        <v>735</v>
      </c>
    </row>
    <row r="204" spans="1:7" x14ac:dyDescent="0.25">
      <c r="A204">
        <v>8</v>
      </c>
      <c r="B204">
        <v>-7.3289999999999997</v>
      </c>
      <c r="C204">
        <v>-6.9969999999999999</v>
      </c>
      <c r="E204" t="s">
        <v>273</v>
      </c>
      <c r="F204">
        <f>VLOOKUP($D$182,E207:G210,VLOOKUP($E$133,$A$196:$B$197,2))</f>
        <v>25000</v>
      </c>
    </row>
    <row r="205" spans="1:7" x14ac:dyDescent="0.25">
      <c r="A205">
        <v>10</v>
      </c>
      <c r="C205">
        <v>-7.26</v>
      </c>
    </row>
    <row r="206" spans="1:7" x14ac:dyDescent="0.25">
      <c r="E206" t="s">
        <v>668</v>
      </c>
      <c r="F206" t="s">
        <v>667</v>
      </c>
      <c r="G206" t="s">
        <v>666</v>
      </c>
    </row>
    <row r="207" spans="1:7" x14ac:dyDescent="0.25">
      <c r="A207" t="s">
        <v>670</v>
      </c>
      <c r="B207">
        <f>VLOOKUP($D$182,A210:C213,VLOOKUP($E$133,$A$196:$B$197,2))</f>
        <v>-2.1259999999999999</v>
      </c>
      <c r="E207">
        <v>4</v>
      </c>
      <c r="F207">
        <f>FWY_Setup!F31</f>
        <v>25000</v>
      </c>
      <c r="G207">
        <f>FWY_Setup!F34</f>
        <v>100000</v>
      </c>
    </row>
    <row r="208" spans="1:7" x14ac:dyDescent="0.25">
      <c r="E208">
        <v>6</v>
      </c>
      <c r="F208">
        <f>FWY_Setup!F32</f>
        <v>50000</v>
      </c>
      <c r="G208">
        <f>FWY_Setup!F35</f>
        <v>250000</v>
      </c>
    </row>
    <row r="209" spans="1:7" x14ac:dyDescent="0.25">
      <c r="A209" t="s">
        <v>668</v>
      </c>
      <c r="B209" t="s">
        <v>667</v>
      </c>
      <c r="C209" t="s">
        <v>666</v>
      </c>
      <c r="E209">
        <v>8</v>
      </c>
      <c r="F209">
        <f>FWY_Setup!F33</f>
        <v>50000</v>
      </c>
      <c r="G209">
        <f>FWY_Setup!F36</f>
        <v>500000</v>
      </c>
    </row>
    <row r="210" spans="1:7" x14ac:dyDescent="0.25">
      <c r="A210">
        <v>4</v>
      </c>
      <c r="B210">
        <v>-2.1259999999999999</v>
      </c>
      <c r="C210">
        <v>-2.1259999999999999</v>
      </c>
      <c r="E210">
        <v>10</v>
      </c>
      <c r="G210">
        <f>FWY_Setup!F37</f>
        <v>500000</v>
      </c>
    </row>
    <row r="211" spans="1:7" x14ac:dyDescent="0.25">
      <c r="A211">
        <v>6</v>
      </c>
      <c r="B211">
        <v>-2.0550000000000002</v>
      </c>
      <c r="C211">
        <v>-2.0550000000000002</v>
      </c>
    </row>
    <row r="212" spans="1:7" x14ac:dyDescent="0.25">
      <c r="A212">
        <v>8</v>
      </c>
      <c r="B212">
        <v>-1.9850000000000001</v>
      </c>
      <c r="C212">
        <v>-1.9850000000000001</v>
      </c>
    </row>
    <row r="213" spans="1:7" x14ac:dyDescent="0.25">
      <c r="A213">
        <v>10</v>
      </c>
      <c r="C213">
        <v>-1.915</v>
      </c>
    </row>
    <row r="215" spans="1:7" x14ac:dyDescent="0.25">
      <c r="A215" t="s">
        <v>669</v>
      </c>
      <c r="B215">
        <f>VLOOKUP($D$182,A218:C221,VLOOKUP($E$133,$A$196:$B$197,2))</f>
        <v>-2.2349999999999999</v>
      </c>
    </row>
    <row r="217" spans="1:7" x14ac:dyDescent="0.25">
      <c r="A217" t="s">
        <v>668</v>
      </c>
      <c r="B217" t="s">
        <v>667</v>
      </c>
      <c r="C217" t="s">
        <v>666</v>
      </c>
    </row>
    <row r="218" spans="1:7" x14ac:dyDescent="0.25">
      <c r="A218">
        <v>4</v>
      </c>
      <c r="B218">
        <v>-2.2349999999999999</v>
      </c>
      <c r="C218">
        <v>-2.2349999999999999</v>
      </c>
    </row>
    <row r="219" spans="1:7" x14ac:dyDescent="0.25">
      <c r="A219">
        <v>6</v>
      </c>
      <c r="B219">
        <v>-2.274</v>
      </c>
      <c r="C219">
        <v>-2.274</v>
      </c>
    </row>
    <row r="220" spans="1:7" x14ac:dyDescent="0.25">
      <c r="A220">
        <v>8</v>
      </c>
      <c r="B220">
        <v>-2.3119999999999998</v>
      </c>
      <c r="C220">
        <v>-2.3119999999999998</v>
      </c>
    </row>
    <row r="221" spans="1:7" x14ac:dyDescent="0.25">
      <c r="A221">
        <v>10</v>
      </c>
      <c r="C221">
        <v>-2.351</v>
      </c>
    </row>
    <row r="223" spans="1:7" x14ac:dyDescent="0.25">
      <c r="A223" t="s">
        <v>665</v>
      </c>
      <c r="C223" t="s">
        <v>664</v>
      </c>
      <c r="D223">
        <f>FWY_Project!C107</f>
        <v>2</v>
      </c>
      <c r="F223" t="s">
        <v>712</v>
      </c>
    </row>
    <row r="224" spans="1:7" x14ac:dyDescent="0.25">
      <c r="A224" t="s">
        <v>663</v>
      </c>
      <c r="B224" t="s">
        <v>662</v>
      </c>
      <c r="C224" t="s">
        <v>71</v>
      </c>
      <c r="F224" t="s">
        <v>713</v>
      </c>
    </row>
    <row r="225" spans="1:13" x14ac:dyDescent="0.25">
      <c r="A225">
        <v>1</v>
      </c>
      <c r="B225" t="e">
        <f>IF(AND($A225&lt;=FWY_Project!#REF!,$D$223=1),FWY_Project!#REF!,"")</f>
        <v>#REF!</v>
      </c>
      <c r="C225" t="e">
        <f>IF(AND($A225&lt;=FWY_Project!#REF!,$D$223=1),FWY_Project!#REF!,0)</f>
        <v>#REF!</v>
      </c>
    </row>
    <row r="226" spans="1:13" x14ac:dyDescent="0.25">
      <c r="A226">
        <v>2</v>
      </c>
      <c r="B226" t="e">
        <f>IF(AND($A226&lt;=FWY_Project!#REF!,$D$223=1),FWY_Project!#REF!,"")</f>
        <v>#REF!</v>
      </c>
      <c r="C226" t="e">
        <f>IF(AND($A226&lt;=FWY_Project!#REF!,$D$223=1),FWY_Project!#REF!,0)</f>
        <v>#REF!</v>
      </c>
    </row>
    <row r="227" spans="1:13" x14ac:dyDescent="0.25">
      <c r="A227">
        <v>3</v>
      </c>
      <c r="B227" t="e">
        <f>IF(AND($A227&lt;=FWY_Project!#REF!,$D$223=1),FWY_Project!#REF!,"")</f>
        <v>#REF!</v>
      </c>
      <c r="C227" t="e">
        <f>IF(AND($A227&lt;=FWY_Project!#REF!,$D$223=1),FWY_Project!#REF!,0)</f>
        <v>#REF!</v>
      </c>
    </row>
    <row r="228" spans="1:13" x14ac:dyDescent="0.25">
      <c r="A228">
        <v>4</v>
      </c>
      <c r="B228" t="e">
        <f>IF(AND($A228&lt;=FWY_Project!#REF!,$D$223=1),FWY_Project!#REF!,"")</f>
        <v>#REF!</v>
      </c>
      <c r="C228" t="e">
        <f>IF(AND($A228&lt;=FWY_Project!#REF!,$D$223=1),FWY_Project!#REF!,0)</f>
        <v>#REF!</v>
      </c>
    </row>
    <row r="229" spans="1:13" x14ac:dyDescent="0.25">
      <c r="A229">
        <v>5</v>
      </c>
      <c r="B229" t="e">
        <f>IF(AND($A229&lt;=FWY_Project!#REF!,$D$223=1),FWY_Project!#REF!,"")</f>
        <v>#REF!</v>
      </c>
      <c r="C229" t="e">
        <f>IF(AND($A229&lt;=FWY_Project!#REF!,$D$223=1),FWY_Project!#REF!,0)</f>
        <v>#REF!</v>
      </c>
    </row>
    <row r="230" spans="1:13" x14ac:dyDescent="0.25">
      <c r="A230">
        <v>6</v>
      </c>
      <c r="B230" t="e">
        <f>IF(AND($A230&lt;=FWY_Project!#REF!,$D$223=1),FWY_Project!#REF!,"")</f>
        <v>#REF!</v>
      </c>
      <c r="C230" t="e">
        <f>IF(AND($A230&lt;=FWY_Project!#REF!,$D$223=1),FWY_Project!#REF!,0)</f>
        <v>#REF!</v>
      </c>
    </row>
    <row r="231" spans="1:13" x14ac:dyDescent="0.25">
      <c r="A231">
        <v>7</v>
      </c>
      <c r="B231" t="e">
        <f>IF(AND($A231&lt;=FWY_Project!#REF!,$D$223=1),FWY_Project!#REF!,"")</f>
        <v>#REF!</v>
      </c>
      <c r="C231" t="e">
        <f>IF(AND($A231&lt;=FWY_Project!#REF!,$D$223=1),FWY_Project!#REF!,0)</f>
        <v>#REF!</v>
      </c>
    </row>
    <row r="232" spans="1:13" x14ac:dyDescent="0.25">
      <c r="A232">
        <v>8</v>
      </c>
      <c r="B232" t="e">
        <f>IF(AND($A232&lt;=FWY_Project!#REF!,$D$223=1),FWY_Project!#REF!,"")</f>
        <v>#REF!</v>
      </c>
      <c r="C232" t="e">
        <f>IF(AND($A232&lt;=FWY_Project!#REF!,$D$223=1),FWY_Project!#REF!,0)</f>
        <v>#REF!</v>
      </c>
    </row>
    <row r="233" spans="1:13" x14ac:dyDescent="0.25">
      <c r="A233">
        <v>9</v>
      </c>
      <c r="B233" t="e">
        <f>IF(AND($A233&lt;=FWY_Project!#REF!,$D$223=1),FWY_Project!#REF!,"")</f>
        <v>#REF!</v>
      </c>
      <c r="C233" t="e">
        <f>IF(AND($A233&lt;=FWY_Project!#REF!,$D$223=1),FWY_Project!#REF!,0)</f>
        <v>#REF!</v>
      </c>
    </row>
    <row r="234" spans="1:13" x14ac:dyDescent="0.25">
      <c r="A234">
        <v>10</v>
      </c>
      <c r="B234" t="e">
        <f>IF(AND($A234&lt;=FWY_Project!#REF!,$D$223=1),FWY_Project!#REF!,"")</f>
        <v>#REF!</v>
      </c>
      <c r="C234" t="e">
        <f>IF(AND($A234&lt;=FWY_Project!#REF!,$D$223=1),FWY_Project!#REF!,0)</f>
        <v>#REF!</v>
      </c>
    </row>
    <row r="236" spans="1:13" x14ac:dyDescent="0.25">
      <c r="H236" s="854" t="s">
        <v>652</v>
      </c>
      <c r="I236" s="854"/>
      <c r="J236" s="854"/>
      <c r="K236" s="498"/>
      <c r="L236" s="498"/>
      <c r="M236" s="498"/>
    </row>
    <row r="237" spans="1:13" x14ac:dyDescent="0.25">
      <c r="A237" t="s">
        <v>440</v>
      </c>
      <c r="B237" t="s">
        <v>436</v>
      </c>
      <c r="C237" t="s">
        <v>433</v>
      </c>
      <c r="D237" t="s">
        <v>650</v>
      </c>
      <c r="E237" t="s">
        <v>659</v>
      </c>
      <c r="F237" t="s">
        <v>432</v>
      </c>
      <c r="G237" t="s">
        <v>649</v>
      </c>
      <c r="H237" t="s">
        <v>431</v>
      </c>
      <c r="I237" t="s">
        <v>648</v>
      </c>
      <c r="J237" t="s">
        <v>647</v>
      </c>
    </row>
    <row r="238" spans="1:13" x14ac:dyDescent="0.25">
      <c r="A238">
        <v>1</v>
      </c>
      <c r="B238">
        <f>IF(AND($A238&lt;=FWY_Project!$C$31,FWY_Project!$C$105&lt;&gt;4),FWY_Project!C39,0)</f>
        <v>0</v>
      </c>
      <c r="C238">
        <f>IF($A238&lt;=FWY_Project!$C$31,FWY_Project!D39,0)</f>
        <v>5</v>
      </c>
      <c r="D238">
        <f>IF(B238=0,0,IF(C238-FWY_Ref!$E$112&lt;0.75,B238/0.75,B238/(C238-FWY_Ref!$E$112)))</f>
        <v>0</v>
      </c>
      <c r="E238">
        <f>IF(B238=0,0,IF(G238="N",IF(C238-FWY_Calculations!$D$10/2-$N$9&lt;0.75,B238/0.75,B238/(C238-FWY_Calculations!$D$10/2-$N$9)),IF(C238+FWY_Calculations!$D$18/2-$N$9&lt;0.75,B238/0.75,B238/(C238+FWY_Calculations!$D$18/2-$N$9))))</f>
        <v>0</v>
      </c>
      <c r="F238" t="str">
        <f>FWY_Project!E39</f>
        <v>Concrete Barrier</v>
      </c>
      <c r="G238" t="str">
        <f>IF(C238&gt;FWY_Ref!$N$9+FWY_Calculations!$D$10,"N","Y")</f>
        <v>N</v>
      </c>
      <c r="H238">
        <f t="shared" ref="H238:H247" si="0">IF(AND($F238="Guardrail",$G238="Y"),$B238,0)</f>
        <v>0</v>
      </c>
      <c r="I238">
        <f>IF(AND($F238="Cable Barrier",$G238="Y"),$B238,0)</f>
        <v>0</v>
      </c>
      <c r="J238">
        <f>IF(AND($F238="Concrete Barrier",$G238="Y"),$B238,0)</f>
        <v>0</v>
      </c>
    </row>
    <row r="239" spans="1:13" x14ac:dyDescent="0.25">
      <c r="A239">
        <v>2</v>
      </c>
      <c r="B239">
        <f>IF(AND($A239&lt;=FWY_Project!$C$31,FWY_Project!$C$105&lt;&gt;4),FWY_Project!C40,0)</f>
        <v>0</v>
      </c>
      <c r="C239">
        <f>IF($A239&lt;=FWY_Project!$C$31,FWY_Project!D40,0)</f>
        <v>0</v>
      </c>
      <c r="D239">
        <f>IF(B239=0,0,IF(C239-FWY_Ref!$E$112&lt;0.75,B239/0.75,B239/(C239-FWY_Ref!$E$112)))</f>
        <v>0</v>
      </c>
      <c r="E239">
        <f>IF(B239=0,0,IF(G239="N",IF(C239-FWY_Calculations!$D$10/2-$N$9&lt;0.75,B239/0.75,B239/(C239-FWY_Calculations!$D$10/2-$N$9)),IF(C239+FWY_Calculations!$D$18/2-$N$9&lt;0.75,B239/0.75,B239/(C239+FWY_Calculations!$D$18/2-$N$9))))</f>
        <v>0</v>
      </c>
      <c r="F239">
        <f>FWY_Project!E40</f>
        <v>0</v>
      </c>
      <c r="G239" t="str">
        <f>IF(C239&gt;FWY_Ref!$N$9+FWY_Calculations!$D$10,"N","Y")</f>
        <v>Y</v>
      </c>
      <c r="H239">
        <f t="shared" si="0"/>
        <v>0</v>
      </c>
      <c r="I239">
        <f t="shared" ref="I239:I247" si="1">IF(AND($F239="Cable Barrier",$G239="Y"),$B239,0)</f>
        <v>0</v>
      </c>
      <c r="J239">
        <f t="shared" ref="J239:J247" si="2">IF(AND($F239="Concrete Barrier",$G239="Y"),$B239,0)</f>
        <v>0</v>
      </c>
    </row>
    <row r="240" spans="1:13" x14ac:dyDescent="0.25">
      <c r="A240">
        <v>3</v>
      </c>
      <c r="B240">
        <f>IF(AND($A240&lt;=FWY_Project!$C$31,FWY_Project!$C$105&lt;&gt;4),FWY_Project!C41,0)</f>
        <v>0</v>
      </c>
      <c r="C240">
        <f>IF($A240&lt;=FWY_Project!$C$31,FWY_Project!D41,0)</f>
        <v>0</v>
      </c>
      <c r="D240">
        <f>IF(B240=0,0,IF(C240-FWY_Ref!$E$112&lt;0.75,B240/0.75,B240/(C240-FWY_Ref!$E$112)))</f>
        <v>0</v>
      </c>
      <c r="E240">
        <f>IF(B240=0,0,IF(G240="N",IF(C240-FWY_Calculations!$D$10/2-$N$9&lt;0.75,B240/0.75,B240/(C240-FWY_Calculations!$D$10/2-$N$9)),IF(C240+FWY_Calculations!$D$18/2-$N$9&lt;0.75,B240/0.75,B240/(C240+FWY_Calculations!$D$18/2-$N$9))))</f>
        <v>0</v>
      </c>
      <c r="F240">
        <f>FWY_Project!E41</f>
        <v>0</v>
      </c>
      <c r="G240" t="str">
        <f>IF(C240&gt;FWY_Ref!$N$9+FWY_Calculations!$D$10,"N","Y")</f>
        <v>Y</v>
      </c>
      <c r="H240">
        <f t="shared" si="0"/>
        <v>0</v>
      </c>
      <c r="I240">
        <f t="shared" si="1"/>
        <v>0</v>
      </c>
      <c r="J240">
        <f t="shared" si="2"/>
        <v>0</v>
      </c>
    </row>
    <row r="241" spans="1:10" x14ac:dyDescent="0.25">
      <c r="A241">
        <v>4</v>
      </c>
      <c r="B241">
        <f>IF(AND($A241&lt;=FWY_Project!$C$31,FWY_Project!$C$105&lt;&gt;4),FWY_Project!C42,0)</f>
        <v>0</v>
      </c>
      <c r="C241">
        <f>IF($A241&lt;=FWY_Project!$C$31,FWY_Project!D42,0)</f>
        <v>0</v>
      </c>
      <c r="D241">
        <f>IF(B241=0,0,IF(C241-FWY_Ref!$E$112&lt;0.75,B241/0.75,B241/(C241-FWY_Ref!$E$112)))</f>
        <v>0</v>
      </c>
      <c r="E241">
        <f>IF(B241=0,0,IF(G241="N",IF(C241-FWY_Calculations!$D$10/2-$N$9&lt;0.75,B241/0.75,B241/(C241-FWY_Calculations!$D$10/2-$N$9)),IF(C241+FWY_Calculations!$D$18/2-$N$9&lt;0.75,B241/0.75,B241/(C241+FWY_Calculations!$D$18/2-$N$9))))</f>
        <v>0</v>
      </c>
      <c r="F241">
        <f>FWY_Project!E42</f>
        <v>0</v>
      </c>
      <c r="G241" t="str">
        <f>IF(C241&gt;FWY_Ref!$N$9+FWY_Calculations!$D$10,"N","Y")</f>
        <v>Y</v>
      </c>
      <c r="H241">
        <f t="shared" si="0"/>
        <v>0</v>
      </c>
      <c r="I241">
        <f t="shared" si="1"/>
        <v>0</v>
      </c>
      <c r="J241">
        <f t="shared" si="2"/>
        <v>0</v>
      </c>
    </row>
    <row r="242" spans="1:10" x14ac:dyDescent="0.25">
      <c r="A242">
        <v>5</v>
      </c>
      <c r="B242">
        <f>IF(AND($A242&lt;=FWY_Project!$C$31,FWY_Project!$C$105&lt;&gt;4),FWY_Project!C43,0)</f>
        <v>0</v>
      </c>
      <c r="C242">
        <f>IF($A242&lt;=FWY_Project!$C$31,FWY_Project!D43,0)</f>
        <v>0</v>
      </c>
      <c r="D242">
        <f>IF(B242=0,0,IF(C242-FWY_Ref!$E$112&lt;0.75,B242/0.75,B242/(C242-FWY_Ref!$E$112)))</f>
        <v>0</v>
      </c>
      <c r="E242">
        <f>IF(B242=0,0,IF(G242="N",IF(C242-FWY_Calculations!$D$10/2-$N$9&lt;0.75,B242/0.75,B242/(C242-FWY_Calculations!$D$10/2-$N$9)),IF(C242+FWY_Calculations!$D$18/2-$N$9&lt;0.75,B242/0.75,B242/(C242+FWY_Calculations!$D$18/2-$N$9))))</f>
        <v>0</v>
      </c>
      <c r="F242">
        <f>FWY_Project!E43</f>
        <v>0</v>
      </c>
      <c r="G242" t="str">
        <f>IF(C242&gt;FWY_Ref!$N$9+FWY_Calculations!$D$10,"N","Y")</f>
        <v>Y</v>
      </c>
      <c r="H242">
        <f t="shared" si="0"/>
        <v>0</v>
      </c>
      <c r="I242">
        <f t="shared" si="1"/>
        <v>0</v>
      </c>
      <c r="J242">
        <f t="shared" si="2"/>
        <v>0</v>
      </c>
    </row>
    <row r="243" spans="1:10" x14ac:dyDescent="0.25">
      <c r="A243">
        <v>6</v>
      </c>
      <c r="B243">
        <f>IF(AND($A243&lt;=FWY_Project!$C$31,FWY_Project!$C$105&lt;&gt;4),FWY_Project!C44,0)</f>
        <v>0</v>
      </c>
      <c r="C243">
        <f>IF($A243&lt;=FWY_Project!$C$31,FWY_Project!D44,0)</f>
        <v>0</v>
      </c>
      <c r="D243">
        <f>IF(B243=0,0,IF(C243-FWY_Ref!$E$112&lt;0.75,B243/0.75,B243/(C243-FWY_Ref!$E$112)))</f>
        <v>0</v>
      </c>
      <c r="E243">
        <f>IF(B243=0,0,IF(G243="N",IF(C243-FWY_Calculations!$D$10/2-$N$9&lt;0.75,B243/0.75,B243/(C243-FWY_Calculations!$D$10/2-$N$9)),IF(C243+FWY_Calculations!$D$18/2-$N$9&lt;0.75,B243/0.75,B243/(C243+FWY_Calculations!$D$18/2-$N$9))))</f>
        <v>0</v>
      </c>
      <c r="F243">
        <f>FWY_Project!E44</f>
        <v>0</v>
      </c>
      <c r="G243" t="str">
        <f>IF(C243&gt;FWY_Ref!$N$9+FWY_Calculations!$D$10,"N","Y")</f>
        <v>Y</v>
      </c>
      <c r="H243">
        <f t="shared" si="0"/>
        <v>0</v>
      </c>
      <c r="I243">
        <f t="shared" si="1"/>
        <v>0</v>
      </c>
      <c r="J243">
        <f t="shared" si="2"/>
        <v>0</v>
      </c>
    </row>
    <row r="244" spans="1:10" x14ac:dyDescent="0.25">
      <c r="A244">
        <v>7</v>
      </c>
      <c r="B244">
        <f>IF(AND($A244&lt;=FWY_Project!$C$31,FWY_Project!$C$105&lt;&gt;4),FWY_Project!C45,0)</f>
        <v>0</v>
      </c>
      <c r="C244">
        <f>IF($A244&lt;=FWY_Project!$C$31,FWY_Project!D45,0)</f>
        <v>0</v>
      </c>
      <c r="D244">
        <f>IF(B244=0,0,IF(C244-FWY_Ref!$E$112&lt;0.75,B244/0.75,B244/(C244-FWY_Ref!$E$112)))</f>
        <v>0</v>
      </c>
      <c r="E244">
        <f>IF(B244=0,0,IF(G244="N",IF(C244-FWY_Calculations!$D$10/2-$N$9&lt;0.75,B244/0.75,B244/(C244-FWY_Calculations!$D$10/2-$N$9)),IF(C244+FWY_Calculations!$D$18/2-$N$9&lt;0.75,B244/0.75,B244/(C244+FWY_Calculations!$D$18/2-$N$9))))</f>
        <v>0</v>
      </c>
      <c r="F244">
        <f>FWY_Project!E45</f>
        <v>0</v>
      </c>
      <c r="G244" t="str">
        <f>IF(C244&gt;FWY_Ref!$N$9+FWY_Calculations!$D$10,"N","Y")</f>
        <v>Y</v>
      </c>
      <c r="H244">
        <f t="shared" si="0"/>
        <v>0</v>
      </c>
      <c r="I244">
        <f t="shared" si="1"/>
        <v>0</v>
      </c>
      <c r="J244">
        <f t="shared" si="2"/>
        <v>0</v>
      </c>
    </row>
    <row r="245" spans="1:10" x14ac:dyDescent="0.25">
      <c r="A245">
        <v>8</v>
      </c>
      <c r="B245">
        <f>IF(AND($A245&lt;=FWY_Project!$C$31,FWY_Project!$C$105&lt;&gt;4),FWY_Project!C46,0)</f>
        <v>0</v>
      </c>
      <c r="C245">
        <f>IF($A245&lt;=FWY_Project!$C$31,FWY_Project!D46,0)</f>
        <v>0</v>
      </c>
      <c r="D245">
        <f>IF(B245=0,0,IF(C245-FWY_Ref!$E$112&lt;0.75,B245/0.75,B245/(C245-FWY_Ref!$E$112)))</f>
        <v>0</v>
      </c>
      <c r="E245">
        <f>IF(B245=0,0,IF(G245="N",IF(C245-FWY_Calculations!$D$10/2-$N$9&lt;0.75,B245/0.75,B245/(C245-FWY_Calculations!$D$10/2-$N$9)),IF(C245+FWY_Calculations!$D$18/2-$N$9&lt;0.75,B245/0.75,B245/(C245+FWY_Calculations!$D$18/2-$N$9))))</f>
        <v>0</v>
      </c>
      <c r="F245">
        <f>FWY_Project!E46</f>
        <v>0</v>
      </c>
      <c r="G245" t="str">
        <f>IF(C245&gt;FWY_Ref!$N$9+FWY_Calculations!$D$10,"N","Y")</f>
        <v>Y</v>
      </c>
      <c r="H245">
        <f t="shared" si="0"/>
        <v>0</v>
      </c>
      <c r="I245">
        <f t="shared" si="1"/>
        <v>0</v>
      </c>
      <c r="J245">
        <f t="shared" si="2"/>
        <v>0</v>
      </c>
    </row>
    <row r="246" spans="1:10" x14ac:dyDescent="0.25">
      <c r="A246">
        <v>9</v>
      </c>
      <c r="B246">
        <f>IF(AND($A246&lt;=FWY_Project!$C$31,FWY_Project!$C$105&lt;&gt;4),FWY_Project!C47,0)</f>
        <v>0</v>
      </c>
      <c r="C246">
        <f>IF($A246&lt;=FWY_Project!$C$31,FWY_Project!D47,0)</f>
        <v>0</v>
      </c>
      <c r="D246">
        <f>IF(B246=0,0,IF(C246-FWY_Ref!$E$112&lt;0.75,B246/0.75,B246/(C246-FWY_Ref!$E$112)))</f>
        <v>0</v>
      </c>
      <c r="E246">
        <f>IF(B246=0,0,IF(G246="N",IF(C246-FWY_Calculations!$D$10/2-$N$9&lt;0.75,B246/0.75,B246/(C246-FWY_Calculations!$D$10/2-$N$9)),IF(C246+FWY_Calculations!$D$18/2-$N$9&lt;0.75,B246/0.75,B246/(C246+FWY_Calculations!$D$18/2-$N$9))))</f>
        <v>0</v>
      </c>
      <c r="F246">
        <f>FWY_Project!E47</f>
        <v>0</v>
      </c>
      <c r="G246" t="str">
        <f>IF(C246&gt;FWY_Ref!$N$9+FWY_Calculations!$D$10,"N","Y")</f>
        <v>Y</v>
      </c>
      <c r="H246">
        <f t="shared" si="0"/>
        <v>0</v>
      </c>
      <c r="I246">
        <f t="shared" si="1"/>
        <v>0</v>
      </c>
      <c r="J246">
        <f t="shared" si="2"/>
        <v>0</v>
      </c>
    </row>
    <row r="247" spans="1:10" x14ac:dyDescent="0.25">
      <c r="A247">
        <v>10</v>
      </c>
      <c r="B247">
        <f>IF(AND($A247&lt;=FWY_Project!$C$31,FWY_Project!$C$105&lt;&gt;4),FWY_Project!C48,0)</f>
        <v>0</v>
      </c>
      <c r="C247">
        <f>IF($A247&lt;=FWY_Project!$C$31,FWY_Project!D48,0)</f>
        <v>0</v>
      </c>
      <c r="D247">
        <f>IF(B247=0,0,IF(C247-FWY_Ref!$E$112&lt;0.75,B247/0.75,B247/(C247-FWY_Ref!$E$112)))</f>
        <v>0</v>
      </c>
      <c r="E247">
        <f>IF(B247=0,0,IF(G247="N",IF(C247-FWY_Calculations!$D$10/2-$N$9&lt;0.75,B247/0.75,B247/(C247-FWY_Calculations!$D$10/2-$N$9)),IF(C247+FWY_Calculations!$D$18/2-$N$9&lt;0.75,B247/0.75,B247/(C247+FWY_Calculations!$D$18/2-$N$9))))</f>
        <v>0</v>
      </c>
      <c r="F247">
        <f>FWY_Project!E48</f>
        <v>0</v>
      </c>
      <c r="G247" t="str">
        <f>IF(C247&gt;FWY_Ref!$N$9+FWY_Calculations!$D$10,"N","Y")</f>
        <v>Y</v>
      </c>
      <c r="H247">
        <f t="shared" si="0"/>
        <v>0</v>
      </c>
      <c r="I247">
        <f t="shared" si="1"/>
        <v>0</v>
      </c>
      <c r="J247">
        <f t="shared" si="2"/>
        <v>0</v>
      </c>
    </row>
    <row r="248" spans="1:10" x14ac:dyDescent="0.25">
      <c r="B248" t="s">
        <v>661</v>
      </c>
      <c r="C248" t="s">
        <v>660</v>
      </c>
      <c r="D248" t="s">
        <v>655</v>
      </c>
      <c r="E248" t="s">
        <v>654</v>
      </c>
    </row>
    <row r="249" spans="1:10" x14ac:dyDescent="0.25">
      <c r="A249">
        <v>1</v>
      </c>
      <c r="B249">
        <f>IF(0.5*(FWY_Project!C20-2*FWY_Ref!E112-FWY_Project!C33)&lt;0.75,2*C20/(SUM(D238:D247)+(2*C20-SUM(B238:B247))/0.75),2*C20/(SUM(D238:D247)+(2*C20-SUM(B238:B247))/(0.5*(FWY_Project!C20-2*FWY_Ref!E112-FWY_Project!C33))))</f>
        <v>12.5</v>
      </c>
      <c r="C249">
        <v>1</v>
      </c>
      <c r="D249">
        <f>IF(0.5*(IF(J80=1,J83,FWY_Project!C20)-2*FWY_Ref!N9-FWY_Project!C33)&lt;0.75,2*C20/(SUM(E238:E247)+(2*C20-SUM(B238:B247))/0.75),2*C20/(SUM(E238:E247)+(2*C20-SUM(B238:B247))/(0.5*(IF(J80=1,J83,FWY_Project!C20)-2*FWY_Ref!N9-FWY_Project!C33))))</f>
        <v>12.5</v>
      </c>
      <c r="E249">
        <v>1</v>
      </c>
    </row>
    <row r="250" spans="1:10" x14ac:dyDescent="0.25">
      <c r="A250">
        <v>2</v>
      </c>
      <c r="B250">
        <f>IF(FWY_Project!C34-FWY_Ref!E112&lt;0.75,IF(FWY_Project!C20-2*FWY_Ref!E112-FWY_Project!C33-FWY_Project!C34&lt;0.75,2*C20/(C20/0.75+SUM(D238:D247)+(C20-SUM(B238:B247))/0.75),2*C20/(C20/0.75+SUM(D238:D247)+(C20-SUM(B238:B247))/(FWY_Project!C20-2*FWY_Ref!E112-FWY_Project!C33-FWY_Project!C34))),IF(FWY_Project!C20-2*FWY_Ref!E112-FWY_Project!C33-FWY_Project!C34&lt;0.75,2*C20/(C20/(FWY_Project!C34-FWY_Ref!E112)+SUM(D238:D247)+(C20-SUM(B238:B247))/0.75),2*C20/(C20/(FWY_Project!C34-FWY_Ref!E112)+SUM(D238:D247)+(C20-SUM(B238:B247))/(FWY_Project!C20-2*FWY_Ref!E112-FWY_Project!C33-FWY_Project!C34))))</f>
        <v>10.434782608695652</v>
      </c>
      <c r="C250">
        <v>1</v>
      </c>
      <c r="D250">
        <f>IF(FWY_Project!C34-IF($J$80=1,$D$182/2*($N$7-$E$88),0)-N9&lt;0.75,IF(IF(J80=1,J83,FWY_Project!C20)-2*N9-FWY_Project!C33-FWY_Project!C34-IF($J$80=1,$D$182/2*($N$7-$E$88),0)&lt;0.75,2*C20/(C20/0.75+SUM(E238:E247)+(C20-SUM(B238:B247))/0.75),2*C20/(C20/0.75+SUM(E238:E247)+(C20-SUM(B238:B247))/(IF(J80=1,J83,FWY_Project!C20)-2*N9-FWY_Project!C33-FWY_Project!C34-IF($J$80=1,$D$182/2*($N$7-$E$88),0)))),IF(IF(J80=1,J83,FWY_Project!C20)-2*N9-FWY_Project!C33-FWY_Project!C34-IF($J$80=1,$D$182/2*($N$7-$E$88),0)&lt;0.75,2*C20/(C20/(FWY_Project!C34-IF($J$80=1,$D$182/2*($N$7-$E$88),0)-N9)+SUM(E238:E247)+(C20-SUM(B238:B247))/0.75),2*C20/(C20/(FWY_Project!C34-IF($J$80=1,$D$182/2*($N$7-$E$88),0)-N9)+SUM(E238:E247)+(C20-SUM(B238:B247))/(IF(J80=1,J83,FWY_Project!C20)-2*N9-FWY_Project!C33-FWY_Project!C34-IF($J$80=1,$D$182/2*($N$7-$E$88),0)))))</f>
        <v>10.434782608695652</v>
      </c>
      <c r="E250">
        <v>1</v>
      </c>
    </row>
    <row r="251" spans="1:10" x14ac:dyDescent="0.25">
      <c r="A251">
        <v>3</v>
      </c>
      <c r="B251" t="e">
        <f>SUM(B238:B247)/SUM(D238:D247)</f>
        <v>#DIV/0!</v>
      </c>
      <c r="C251">
        <f>SUM(B238:B247)/(2*C20)</f>
        <v>0</v>
      </c>
      <c r="D251" t="e">
        <f>SUM(B238:B247)/SUM(E238:E247)</f>
        <v>#DIV/0!</v>
      </c>
      <c r="E251">
        <f>SUM(B238:B247)/(2*C20)</f>
        <v>0</v>
      </c>
    </row>
    <row r="252" spans="1:10" x14ac:dyDescent="0.25">
      <c r="A252">
        <v>4</v>
      </c>
      <c r="B252">
        <v>0</v>
      </c>
      <c r="C252">
        <v>0</v>
      </c>
      <c r="D252">
        <v>0</v>
      </c>
      <c r="E252">
        <v>0</v>
      </c>
    </row>
    <row r="254" spans="1:10" x14ac:dyDescent="0.25">
      <c r="H254" s="854" t="s">
        <v>652</v>
      </c>
      <c r="I254" s="854"/>
      <c r="J254" s="854"/>
    </row>
    <row r="255" spans="1:10" x14ac:dyDescent="0.25">
      <c r="A255" t="s">
        <v>439</v>
      </c>
      <c r="B255" t="s">
        <v>434</v>
      </c>
      <c r="C255" t="s">
        <v>433</v>
      </c>
      <c r="D255" t="s">
        <v>650</v>
      </c>
      <c r="E255" t="s">
        <v>659</v>
      </c>
      <c r="F255" t="s">
        <v>432</v>
      </c>
      <c r="G255" t="s">
        <v>649</v>
      </c>
      <c r="H255" t="s">
        <v>431</v>
      </c>
      <c r="I255" t="s">
        <v>648</v>
      </c>
      <c r="J255" t="s">
        <v>647</v>
      </c>
    </row>
    <row r="256" spans="1:10" x14ac:dyDescent="0.25">
      <c r="A256">
        <v>1</v>
      </c>
      <c r="B256">
        <f>IF(AND($A256&lt;=FWY_Project!$L$33,FWY_Project!$C$106=1),FWY_Project!J39,0)</f>
        <v>0</v>
      </c>
      <c r="C256">
        <f>IF($A256&lt;=FWY_Project!$L$33,FWY_Project!L39,0)</f>
        <v>8</v>
      </c>
      <c r="D256">
        <f>IF(C256-$E$100&lt;0.75,IF(B256=0,0,B256/0.75),IF(B256=0,0,B256/(C256-$E$100)))</f>
        <v>0</v>
      </c>
      <c r="E256">
        <f>IF(B256=0,0,IF(G256="N",IF(C256-FWY_Calculations!$D$9/2-$N$8&lt;0.75,B256/0.75,B256/(C256-FWY_Calculations!$D$9/2-$N$8)),IF(C256+FWY_Calculations!$D$14/2-$N$8&lt;0.75,B256/0.75,B256/(C256+FWY_Calculations!$D$14/2-$N$8))))</f>
        <v>0</v>
      </c>
      <c r="F256" t="str">
        <f>FWY_Project!M39</f>
        <v>Guardrail</v>
      </c>
      <c r="G256" t="str">
        <f>IF(FWY_Calculations!$D$9+FWY_Calculations!$D$14=0,"N","Y")</f>
        <v>N</v>
      </c>
      <c r="H256">
        <f t="shared" ref="H256:H265" si="3">IF(AND($F256="Guardrail",$G256="Y"),$B256,0)</f>
        <v>0</v>
      </c>
      <c r="I256">
        <f t="shared" ref="I256:I265" si="4">IF(AND($F256="Cable Barrier",$G256="Y"),$B256,0)</f>
        <v>0</v>
      </c>
      <c r="J256">
        <f t="shared" ref="J256:J265" si="5">IF(AND($F256="Concrete Barrier",$G256="Y"),$B256,0)</f>
        <v>0</v>
      </c>
    </row>
    <row r="257" spans="1:10" x14ac:dyDescent="0.25">
      <c r="A257">
        <v>2</v>
      </c>
      <c r="B257">
        <f>IF(AND($A257&lt;=FWY_Project!$L$33,FWY_Project!$C$106=1),FWY_Project!J40,0)</f>
        <v>0</v>
      </c>
      <c r="C257">
        <f>IF($A257&lt;=FWY_Project!$L$33,FWY_Project!L40,0)</f>
        <v>0</v>
      </c>
      <c r="D257">
        <f t="shared" ref="D257:D265" si="6">IF(C257-$E$100&lt;0.75,IF(B257=0,0,B257/0.75),IF(B257=0,0,B257/(C257-$E$100)))</f>
        <v>0</v>
      </c>
      <c r="E257">
        <f>IF(B257=0,0,IF(G257="N",IF(C257-FWY_Calculations!$D$9/2-$N$8&lt;0.75,B257/0.75,B257/(C257-FWY_Calculations!$D$9/2-$N$8)),IF(C257+FWY_Calculations!$D$14/2-$N$8&lt;0.75,B257/0.75,B257/(C257+FWY_Calculations!$D$14/2-$N$8))))</f>
        <v>0</v>
      </c>
      <c r="F257">
        <f>FWY_Project!M40</f>
        <v>0</v>
      </c>
      <c r="G257" t="str">
        <f>IF(FWY_Calculations!$D$9+FWY_Calculations!$D$14=0,"N","Y")</f>
        <v>N</v>
      </c>
      <c r="H257">
        <f t="shared" si="3"/>
        <v>0</v>
      </c>
      <c r="I257">
        <f t="shared" si="4"/>
        <v>0</v>
      </c>
      <c r="J257">
        <f t="shared" si="5"/>
        <v>0</v>
      </c>
    </row>
    <row r="258" spans="1:10" x14ac:dyDescent="0.25">
      <c r="A258">
        <v>3</v>
      </c>
      <c r="B258">
        <f>IF(AND($A258&lt;=FWY_Project!$L$33,FWY_Project!$C$106=1),FWY_Project!J41,0)</f>
        <v>0</v>
      </c>
      <c r="C258">
        <f>IF($A258&lt;=FWY_Project!$L$33,FWY_Project!L41,0)</f>
        <v>0</v>
      </c>
      <c r="D258">
        <f t="shared" si="6"/>
        <v>0</v>
      </c>
      <c r="E258">
        <f>IF(B258=0,0,IF(G258="N",IF(C258-FWY_Calculations!$D$9/2-$N$8&lt;0.75,B258/0.75,B258/(C258-FWY_Calculations!$D$9/2-$N$8)),IF(C258+FWY_Calculations!$D$14/2-$N$8&lt;0.75,B258/0.75,B258/(C258+FWY_Calculations!$D$14/2-$N$8))))</f>
        <v>0</v>
      </c>
      <c r="F258">
        <f>FWY_Project!M41</f>
        <v>0</v>
      </c>
      <c r="G258" t="str">
        <f>IF(FWY_Calculations!$D$9+FWY_Calculations!$D$14=0,"N","Y")</f>
        <v>N</v>
      </c>
      <c r="H258">
        <f t="shared" si="3"/>
        <v>0</v>
      </c>
      <c r="I258">
        <f t="shared" si="4"/>
        <v>0</v>
      </c>
      <c r="J258">
        <f t="shared" si="5"/>
        <v>0</v>
      </c>
    </row>
    <row r="259" spans="1:10" x14ac:dyDescent="0.25">
      <c r="A259">
        <v>4</v>
      </c>
      <c r="B259">
        <f>IF(AND($A259&lt;=FWY_Project!$L$33,FWY_Project!$C$106=1),FWY_Project!J42,0)</f>
        <v>0</v>
      </c>
      <c r="C259">
        <f>IF($A259&lt;=FWY_Project!$L$33,FWY_Project!L42,0)</f>
        <v>0</v>
      </c>
      <c r="D259">
        <f t="shared" si="6"/>
        <v>0</v>
      </c>
      <c r="E259">
        <f>IF(B259=0,0,IF(G259="N",IF(C259-FWY_Calculations!$D$9/2-$N$8&lt;0.75,B259/0.75,B259/(C259-FWY_Calculations!$D$9/2-$N$8)),IF(C259+FWY_Calculations!$D$14/2-$N$8&lt;0.75,B259/0.75,B259/(C259+FWY_Calculations!$D$14/2-$N$8))))</f>
        <v>0</v>
      </c>
      <c r="F259">
        <f>FWY_Project!M42</f>
        <v>0</v>
      </c>
      <c r="G259" t="str">
        <f>IF(FWY_Calculations!$D$9+FWY_Calculations!$D$14=0,"N","Y")</f>
        <v>N</v>
      </c>
      <c r="H259">
        <f t="shared" si="3"/>
        <v>0</v>
      </c>
      <c r="I259">
        <f t="shared" si="4"/>
        <v>0</v>
      </c>
      <c r="J259">
        <f t="shared" si="5"/>
        <v>0</v>
      </c>
    </row>
    <row r="260" spans="1:10" x14ac:dyDescent="0.25">
      <c r="A260">
        <v>5</v>
      </c>
      <c r="B260">
        <f>IF(AND($A260&lt;=FWY_Project!$L$33,FWY_Project!$C$106=1),FWY_Project!J43,0)</f>
        <v>0</v>
      </c>
      <c r="C260">
        <f>IF($A260&lt;=FWY_Project!$L$33,FWY_Project!L43,0)</f>
        <v>0</v>
      </c>
      <c r="D260">
        <f t="shared" si="6"/>
        <v>0</v>
      </c>
      <c r="E260">
        <f>IF(B260=0,0,IF(G260="N",IF(C260-FWY_Calculations!$D$9/2-$N$8&lt;0.75,B260/0.75,B260/(C260-FWY_Calculations!$D$9/2-$N$8)),IF(C260+FWY_Calculations!$D$14/2-$N$8&lt;0.75,B260/0.75,B260/(C260+FWY_Calculations!$D$14/2-$N$8))))</f>
        <v>0</v>
      </c>
      <c r="F260">
        <f>FWY_Project!M43</f>
        <v>0</v>
      </c>
      <c r="G260" t="str">
        <f>IF(FWY_Calculations!$D$9+FWY_Calculations!$D$14=0,"N","Y")</f>
        <v>N</v>
      </c>
      <c r="H260">
        <f t="shared" si="3"/>
        <v>0</v>
      </c>
      <c r="I260">
        <f t="shared" si="4"/>
        <v>0</v>
      </c>
      <c r="J260">
        <f t="shared" si="5"/>
        <v>0</v>
      </c>
    </row>
    <row r="261" spans="1:10" x14ac:dyDescent="0.25">
      <c r="A261">
        <v>6</v>
      </c>
      <c r="B261">
        <f>IF(AND($A261&lt;=FWY_Project!$L$33,FWY_Project!$C$106=1),FWY_Project!J44,0)</f>
        <v>0</v>
      </c>
      <c r="C261">
        <f>IF($A261&lt;=FWY_Project!$L$33,FWY_Project!L44,0)</f>
        <v>0</v>
      </c>
      <c r="D261">
        <f t="shared" si="6"/>
        <v>0</v>
      </c>
      <c r="E261">
        <f>IF(B261=0,0,IF(G261="N",IF(C261-FWY_Calculations!$D$9/2-$N$8&lt;0.75,B261/0.75,B261/(C261-FWY_Calculations!$D$9/2-$N$8)),IF(C261+FWY_Calculations!$D$14/2-$N$8&lt;0.75,B261/0.75,B261/(C261+FWY_Calculations!$D$14/2-$N$8))))</f>
        <v>0</v>
      </c>
      <c r="F261">
        <f>FWY_Project!M44</f>
        <v>0</v>
      </c>
      <c r="G261" t="str">
        <f>IF(FWY_Calculations!$D$9+FWY_Calculations!$D$14=0,"N","Y")</f>
        <v>N</v>
      </c>
      <c r="H261">
        <f t="shared" si="3"/>
        <v>0</v>
      </c>
      <c r="I261">
        <f t="shared" si="4"/>
        <v>0</v>
      </c>
      <c r="J261">
        <f t="shared" si="5"/>
        <v>0</v>
      </c>
    </row>
    <row r="262" spans="1:10" x14ac:dyDescent="0.25">
      <c r="A262">
        <v>7</v>
      </c>
      <c r="B262">
        <f>IF(AND($A262&lt;=FWY_Project!$L$33,FWY_Project!$C$106=1),FWY_Project!J45,0)</f>
        <v>0</v>
      </c>
      <c r="C262">
        <f>IF($A262&lt;=FWY_Project!$L$33,FWY_Project!L45,0)</f>
        <v>0</v>
      </c>
      <c r="D262">
        <f t="shared" si="6"/>
        <v>0</v>
      </c>
      <c r="E262">
        <f>IF(B262=0,0,IF(G262="N",IF(C262-FWY_Calculations!$D$9/2-$N$8&lt;0.75,B262/0.75,B262/(C262-FWY_Calculations!$D$9/2-$N$8)),IF(C262+FWY_Calculations!$D$14/2-$N$8&lt;0.75,B262/0.75,B262/(C262+FWY_Calculations!$D$14/2-$N$8))))</f>
        <v>0</v>
      </c>
      <c r="F262">
        <f>FWY_Project!M45</f>
        <v>0</v>
      </c>
      <c r="G262" t="str">
        <f>IF(FWY_Calculations!$D$9+FWY_Calculations!$D$14=0,"N","Y")</f>
        <v>N</v>
      </c>
      <c r="H262">
        <f t="shared" si="3"/>
        <v>0</v>
      </c>
      <c r="I262">
        <f t="shared" si="4"/>
        <v>0</v>
      </c>
      <c r="J262">
        <f t="shared" si="5"/>
        <v>0</v>
      </c>
    </row>
    <row r="263" spans="1:10" x14ac:dyDescent="0.25">
      <c r="A263">
        <v>8</v>
      </c>
      <c r="B263">
        <f>IF(AND($A263&lt;=FWY_Project!$L$33,FWY_Project!$C$106=1),FWY_Project!J46,0)</f>
        <v>0</v>
      </c>
      <c r="C263">
        <f>IF($A263&lt;=FWY_Project!$L$33,FWY_Project!L46,0)</f>
        <v>0</v>
      </c>
      <c r="D263">
        <f t="shared" si="6"/>
        <v>0</v>
      </c>
      <c r="E263">
        <f>IF(B263=0,0,IF(G263="N",IF(C263-FWY_Calculations!$D$9/2-$N$8&lt;0.75,B263/0.75,B263/(C263-FWY_Calculations!$D$9/2-$N$8)),IF(C263+FWY_Calculations!$D$14/2-$N$8&lt;0.75,B263/0.75,B263/(C263+FWY_Calculations!$D$14/2-$N$8))))</f>
        <v>0</v>
      </c>
      <c r="F263">
        <f>FWY_Project!M46</f>
        <v>0</v>
      </c>
      <c r="G263" t="str">
        <f>IF(FWY_Calculations!$D$9+FWY_Calculations!$D$14=0,"N","Y")</f>
        <v>N</v>
      </c>
      <c r="H263">
        <f t="shared" si="3"/>
        <v>0</v>
      </c>
      <c r="I263">
        <f t="shared" si="4"/>
        <v>0</v>
      </c>
      <c r="J263">
        <f t="shared" si="5"/>
        <v>0</v>
      </c>
    </row>
    <row r="264" spans="1:10" x14ac:dyDescent="0.25">
      <c r="A264">
        <v>9</v>
      </c>
      <c r="B264">
        <f>IF(AND($A264&lt;=FWY_Project!$L$33,FWY_Project!$C$106=1),FWY_Project!J47,0)</f>
        <v>0</v>
      </c>
      <c r="C264">
        <f>IF($A264&lt;=FWY_Project!$L$33,FWY_Project!L47,0)</f>
        <v>0</v>
      </c>
      <c r="D264">
        <f t="shared" si="6"/>
        <v>0</v>
      </c>
      <c r="E264">
        <f>IF(B264=0,0,IF(G264="N",IF(C264-FWY_Calculations!$D$9/2-$N$8&lt;0.75,B264/0.75,B264/(C264-FWY_Calculations!$D$9/2-$N$8)),IF(C264+FWY_Calculations!$D$14/2-$N$8&lt;0.75,B264/0.75,B264/(C264+FWY_Calculations!$D$14/2-$N$8))))</f>
        <v>0</v>
      </c>
      <c r="F264">
        <f>FWY_Project!M47</f>
        <v>0</v>
      </c>
      <c r="G264" t="str">
        <f>IF(FWY_Calculations!$D$9+FWY_Calculations!$D$14=0,"N","Y")</f>
        <v>N</v>
      </c>
      <c r="H264">
        <f t="shared" si="3"/>
        <v>0</v>
      </c>
      <c r="I264">
        <f t="shared" si="4"/>
        <v>0</v>
      </c>
      <c r="J264">
        <f t="shared" si="5"/>
        <v>0</v>
      </c>
    </row>
    <row r="265" spans="1:10" x14ac:dyDescent="0.25">
      <c r="A265">
        <v>10</v>
      </c>
      <c r="B265">
        <f>IF(AND($A265&lt;=FWY_Project!$L$33,FWY_Project!$C$106=1),FWY_Project!J48,0)</f>
        <v>0</v>
      </c>
      <c r="C265">
        <f>IF($A265&lt;=FWY_Project!$L$33,FWY_Project!L48,0)</f>
        <v>0</v>
      </c>
      <c r="D265">
        <f t="shared" si="6"/>
        <v>0</v>
      </c>
      <c r="E265">
        <f>IF(B265=0,0,IF(G265="N",IF(C265-FWY_Calculations!$D$9/2-$N$8&lt;0.75,B265/0.75,B265/(C265-FWY_Calculations!$D$9/2-$N$8)),IF(C265+FWY_Calculations!$D$14/2-$N$8&lt;0.75,B265/0.75,B265/(C265+FWY_Calculations!$D$14/2-$N$8))))</f>
        <v>0</v>
      </c>
      <c r="F265">
        <f>FWY_Project!M48</f>
        <v>0</v>
      </c>
      <c r="G265" t="str">
        <f>IF(FWY_Calculations!$D$9+FWY_Calculations!$D$14=0,"N","Y")</f>
        <v>N</v>
      </c>
      <c r="H265">
        <f t="shared" si="3"/>
        <v>0</v>
      </c>
      <c r="I265">
        <f t="shared" si="4"/>
        <v>0</v>
      </c>
      <c r="J265">
        <f t="shared" si="5"/>
        <v>0</v>
      </c>
    </row>
    <row r="266" spans="1:10" x14ac:dyDescent="0.25">
      <c r="B266" t="s">
        <v>658</v>
      </c>
      <c r="C266" t="s">
        <v>657</v>
      </c>
      <c r="D266" t="s">
        <v>646</v>
      </c>
      <c r="E266" t="s">
        <v>645</v>
      </c>
    </row>
    <row r="267" spans="1:10" x14ac:dyDescent="0.25">
      <c r="A267">
        <v>1</v>
      </c>
      <c r="B267" t="e">
        <f>SUM(B256:B265)/SUM(D256:D265)</f>
        <v>#DIV/0!</v>
      </c>
      <c r="C267">
        <f>SUM(B256:B265)/(2*C20)</f>
        <v>0</v>
      </c>
      <c r="G267" t="s">
        <v>716</v>
      </c>
    </row>
    <row r="268" spans="1:10" x14ac:dyDescent="0.25">
      <c r="A268">
        <v>2</v>
      </c>
      <c r="B268">
        <v>0</v>
      </c>
      <c r="C268">
        <v>0</v>
      </c>
      <c r="G268" t="s">
        <v>714</v>
      </c>
      <c r="H268">
        <f>IF($J$11=FALSE,0,IF(AND($B$271="Replace Offset with Centered Continuous Barrier",$A$274=1,FWY_Project!$C$35="Guardrail"),FWY_Project!$C$5,0))</f>
        <v>0</v>
      </c>
      <c r="I268">
        <f>IF($J$11=FALSE,0,IF(AND($B$271="Replace Offset with Centered Continuous Barrier",$A$274=1,FWY_Project!$C$35="Cable Barrier"),FWY_Project!$C$5,0))</f>
        <v>0</v>
      </c>
      <c r="J268">
        <f>IF($J$11=FALSE,0,IF(AND($B$271="Replace Offset with Centered Continuous Barrier",$A$274=1,FWY_Project!$C$35="Concrete Barrier"),FWY_Project!$C$5,0))</f>
        <v>0</v>
      </c>
    </row>
    <row r="269" spans="1:10" x14ac:dyDescent="0.25">
      <c r="G269" t="s">
        <v>715</v>
      </c>
      <c r="H269">
        <f>IF($J$11=FALSE,0,IF(AND(OR($B$271="Replace Offset with Centered Continuous Barrier",$B$271="Install Continuous Centered Barrier",$B$272="Install Continuous Offset Barrier"),FWY_Project!$C$65="Guardrail"),FWY_Project!$C$5,0))</f>
        <v>0</v>
      </c>
      <c r="I269">
        <f>IF($J$11=FALSE,0,IF(AND(OR($B$271="Replace Offset with Centered Continuous Barrier",$B$271="Install Continuous Centered Barrier",$B$272="Install Continuous Offset Barrier"),FWY_Project!$C$65="Cable Barrier"),FWY_Project!$C$5,0))</f>
        <v>0</v>
      </c>
      <c r="J269">
        <f>IF($J$11=FALSE,0,IF(AND(OR($B$271="Replace Offset with Centered Continuous Barrier",$B$271="Install Continuous Centered Barrier",$B$272="Install Continuous Offset Barrier"),FWY_Project!$C$65="Concrete Barrier"),FWY_Project!$C$5,0))</f>
        <v>0</v>
      </c>
    </row>
    <row r="270" spans="1:10" x14ac:dyDescent="0.25">
      <c r="B270" t="s">
        <v>656</v>
      </c>
    </row>
    <row r="271" spans="1:10" x14ac:dyDescent="0.25">
      <c r="A271">
        <v>1</v>
      </c>
      <c r="B271" t="str">
        <f>IF(OR(C131=3,C131=4),"Install Continuous Centered Barrier",IF(C131=2,"Replace Offset with Centered Continuous Barrier",""))</f>
        <v>Install Continuous Centered Barrier</v>
      </c>
    </row>
    <row r="272" spans="1:10" x14ac:dyDescent="0.25">
      <c r="A272">
        <v>2</v>
      </c>
      <c r="B272" t="str">
        <f>IF(OR(C131=3,C131=4),"Install Continuous Offset Barrier","")</f>
        <v>Install Continuous Offset Barrier</v>
      </c>
    </row>
    <row r="273" spans="1:12" x14ac:dyDescent="0.25">
      <c r="A273">
        <v>3</v>
      </c>
      <c r="B273" t="str">
        <f>IF(OR(C131=3,C131=4),"Only Add/Edit Discontinuous Barriers",IF(OR(C131=2,C131=1),"Keep Continuous Barrier and Add/Edit Discontinuous Barriers",""))</f>
        <v>Only Add/Edit Discontinuous Barriers</v>
      </c>
    </row>
    <row r="274" spans="1:12" x14ac:dyDescent="0.25">
      <c r="A274">
        <v>1</v>
      </c>
    </row>
    <row r="275" spans="1:12" x14ac:dyDescent="0.25">
      <c r="G275" s="854" t="s">
        <v>652</v>
      </c>
      <c r="H275" s="854"/>
      <c r="I275" s="854"/>
      <c r="J275" s="854" t="s">
        <v>651</v>
      </c>
      <c r="K275" s="854"/>
      <c r="L275" s="854"/>
    </row>
    <row r="276" spans="1:12" x14ac:dyDescent="0.25">
      <c r="A276" t="s">
        <v>440</v>
      </c>
      <c r="B276" t="s">
        <v>436</v>
      </c>
      <c r="C276" t="s">
        <v>433</v>
      </c>
      <c r="D276" t="s">
        <v>650</v>
      </c>
      <c r="E276" t="s">
        <v>432</v>
      </c>
      <c r="F276" t="s">
        <v>649</v>
      </c>
      <c r="G276" t="s">
        <v>431</v>
      </c>
      <c r="H276" t="s">
        <v>648</v>
      </c>
      <c r="I276" t="s">
        <v>647</v>
      </c>
      <c r="J276" t="s">
        <v>431</v>
      </c>
      <c r="K276" t="s">
        <v>648</v>
      </c>
      <c r="L276" t="s">
        <v>647</v>
      </c>
    </row>
    <row r="277" spans="1:12" x14ac:dyDescent="0.25">
      <c r="A277">
        <v>1</v>
      </c>
      <c r="B277">
        <f>IF(AND(A277&lt;=FWY_Project!$C$31,FWY_Project!$C$105&lt;&gt;4),IF(FWY_Project!E69="No",FWY_Project!C69,FWY_Project!F69),0)</f>
        <v>0</v>
      </c>
      <c r="C277">
        <f>IF(A277&lt;=FWY_Project!$C$31,FWY_Project!D69,0)</f>
        <v>5</v>
      </c>
      <c r="D277">
        <f>IF(C277-$N$9&lt;0.75,IF(B277=0,0,B277/0.75),IF(B277=0,0,B277/(C277-$N$9)))</f>
        <v>0</v>
      </c>
      <c r="E277" t="str">
        <f>FWY_Project!E39</f>
        <v>Concrete Barrier</v>
      </c>
      <c r="F277" t="str">
        <f>IF(G238="Y","Already Removed",IF(FWY_Project!G69="Yes","Y","N"))</f>
        <v>N</v>
      </c>
      <c r="G277">
        <f>IF($J$11=FALSE,0,IF(F277="Already Removed",0,IF(AND($E277="Guardrail",$F277="Y"),$B277,IF(AND($E277="Guardrail",FWY_Project!$E69="Yes",FWY_Ref!$B238&lt;&gt;0,FWY_Project!$F69&lt;FWY_Project!$C69),FWY_Project!$C69-FWY_Project!$F69,0))))</f>
        <v>0</v>
      </c>
      <c r="H277">
        <f>IF($J$11=FALSE,0,IF(F277="Already Removed",0,IF(AND($E277="Cable Barrier",$F277="Y"),$B277,IF(AND($E277="Cable Barrier",FWY_Ref!$B238&lt;&gt;0,FWY_Project!$E69="Yes",FWY_Project!$F69&lt;FWY_Project!$C69),FWY_Project!$C69-FWY_Project!$F69,0))))</f>
        <v>0</v>
      </c>
      <c r="I277">
        <f>IF($J$11=FALSE,0,IF(F277="Already Removed",0,IF(AND($E277="Concrete Barrier",$F277="Y"),$B277,IF(AND($E277="Concrete Barrier",FWY_Ref!$B238&lt;&gt;0,FWY_Project!$E69="Yes",FWY_Project!$F69&lt;FWY_Project!$C69),FWY_Project!$C69-FWY_Project!$F69,0))))</f>
        <v>0</v>
      </c>
      <c r="J277">
        <f>IF($J$11=FALSE,IF($F277="Already Removed",IF($E277="Guardrail",$H238,0),0),IF($F277="Already Removed",IF($E277="Guardrail",$B277,0),IF($B238=0,0,IF(FWY_Project!$F69&gt;FWY_Project!$C69,IF(AND($E277="Guardrail",FWY_Project!$E69="Yes"),FWY_Ref!$B277-$B238,0),0))))</f>
        <v>0</v>
      </c>
      <c r="K277">
        <f>IF($J$11=FALSE,IF($F277="Already Removed",IF($E277="Cable Barrier",$I238,0),0),IF(F277="Already Removed",IF($E277="Cable Barrier",$B277,0),IF($B238=0,0,IF(FWY_Project!$F69&gt;FWY_Project!$C69,IF(AND($E277="Cable Barrier",FWY_Project!$E69="Yes"),FWY_Ref!$B277-$B238,0),0))))</f>
        <v>0</v>
      </c>
      <c r="L277">
        <f>IF($J$11=FALSE,IF($F277="Already Removed",IF($E277="Cable Barrier",$J238,0),0),IF(F277="Already Removed",IF($E277="Cable Barrier",$B277,0),IF($B238=0,0,IF(FWY_Project!$F69&gt;FWY_Project!$C69,IF(AND($E277="Concrete Barrier",FWY_Project!$E69="Yes"),FWY_Ref!$B277-$B238,0),0))))</f>
        <v>0</v>
      </c>
    </row>
    <row r="278" spans="1:12" x14ac:dyDescent="0.25">
      <c r="A278">
        <v>2</v>
      </c>
      <c r="B278">
        <f>IF(AND(A278&lt;=FWY_Project!$C$31,FWY_Project!$C$105&lt;&gt;4),IF(FWY_Project!E70="No",FWY_Project!C70,FWY_Project!F70),0)</f>
        <v>0</v>
      </c>
      <c r="C278">
        <f>IF(A278&lt;=FWY_Project!$C$31,FWY_Project!D70,0)</f>
        <v>0</v>
      </c>
      <c r="D278">
        <f t="shared" ref="D278:D296" si="7">IF(C278-$N$9&lt;0.75,IF(B278=0,0,B278/0.75),IF(B278=0,0,B278/(C278-$N$9)))</f>
        <v>0</v>
      </c>
      <c r="E278">
        <f>FWY_Project!E40</f>
        <v>0</v>
      </c>
      <c r="F278" t="str">
        <f>IF(G239="Y","Already Removed",IF(FWY_Project!G70="Yes","Y","N"))</f>
        <v>Already Removed</v>
      </c>
      <c r="G278">
        <f>IF($J$11=FALSE,0,IF(F278="Already Removed",0,IF(AND($E278="Guardrail",$F278="Y"),$B278,IF(AND($E278="Guardrail",FWY_Project!$E70="Yes",FWY_Ref!$B239&lt;&gt;0,FWY_Project!$F70&lt;FWY_Project!$C70),FWY_Project!$C70-FWY_Project!$F70,0))))</f>
        <v>0</v>
      </c>
      <c r="H278">
        <f>IF($J$11=FALSE,0,IF(F278="Already Removed",0,IF(AND($E278="Cable Barrier",$F278="Y"),$B278,IF(AND($E278="Cable Barrier",FWY_Ref!$B239&lt;&gt;0,FWY_Project!$E70="Yes",FWY_Project!$F70&lt;FWY_Project!$C70),FWY_Project!$C70-FWY_Project!$F70,0))))</f>
        <v>0</v>
      </c>
      <c r="I278">
        <f>IF($J$11=FALSE,0,IF(F278="Already Removed",0,IF(AND($E278="Concrete Barrier",$F278="Y"),$B278,IF(AND($E278="Concrete Barrier",FWY_Ref!$B239&lt;&gt;0,FWY_Project!$E70="Yes",FWY_Project!$F70&lt;FWY_Project!$C70),FWY_Project!$C70-FWY_Project!$F70,0))))</f>
        <v>0</v>
      </c>
      <c r="J278">
        <f>IF($J$11=FALSE,IF($F278="Already Removed",IF($E278="Guardrail",$H239,0),0),IF($F278="Already Removed",IF($E278="Guardrail",$B278,0),IF($B239=0,0,IF(FWY_Project!$F70&gt;FWY_Project!$C70,IF(AND($E278="Guardrail",FWY_Project!$E70="Yes"),FWY_Ref!$B278-$B239,0),0))))</f>
        <v>0</v>
      </c>
      <c r="K278">
        <f>IF($J$11=FALSE,IF($F278="Already Removed",IF($E278="Cable Barrier",$I239,0),0),IF(F278="Already Removed",IF($E278="Cable Barrier",$B278,0),IF($B239=0,0,IF(FWY_Project!$F70&gt;FWY_Project!$C70,IF(AND($E278="Cable Barrier",FWY_Project!$E70="Yes"),FWY_Ref!$B278-$B239,0),0))))</f>
        <v>0</v>
      </c>
      <c r="L278">
        <f>IF($J$11=FALSE,IF($F278="Already Removed",IF($E278="Cable Barrier",$J239,0),0),IF(F278="Already Removed",IF($E278="Cable Barrier",$B278,0),IF($B239=0,0,IF(FWY_Project!$F70&gt;FWY_Project!$C70,IF(AND($E278="Concrete Barrier",FWY_Project!$E70="Yes"),FWY_Ref!$B278-$B239,0),0))))</f>
        <v>0</v>
      </c>
    </row>
    <row r="279" spans="1:12" x14ac:dyDescent="0.25">
      <c r="A279">
        <v>3</v>
      </c>
      <c r="B279">
        <f>IF(AND(A279&lt;=FWY_Project!$C$31,FWY_Project!$C$105&lt;&gt;4),IF(FWY_Project!E71="No",FWY_Project!C71,FWY_Project!F71),0)</f>
        <v>0</v>
      </c>
      <c r="C279">
        <f>IF(A279&lt;=FWY_Project!$C$31,FWY_Project!D71,0)</f>
        <v>0</v>
      </c>
      <c r="D279">
        <f t="shared" si="7"/>
        <v>0</v>
      </c>
      <c r="E279">
        <f>FWY_Project!E41</f>
        <v>0</v>
      </c>
      <c r="F279" t="str">
        <f>IF(G240="Y","Already Removed",IF(FWY_Project!G71="Yes","Y","N"))</f>
        <v>Already Removed</v>
      </c>
      <c r="G279">
        <f>IF($J$11=FALSE,0,IF(F279="Already Removed",0,IF(AND($E279="Guardrail",$F279="Y"),$B279,IF(AND($E279="Guardrail",FWY_Project!$E71="Yes",FWY_Ref!$B240&lt;&gt;0,FWY_Project!$F71&lt;FWY_Project!$C71),FWY_Project!$C71-FWY_Project!$F71,0))))</f>
        <v>0</v>
      </c>
      <c r="H279">
        <f>IF($J$11=FALSE,0,IF(F279="Already Removed",0,IF(AND($E279="Cable Barrier",$F279="Y"),$B279,IF(AND($E279="Cable Barrier",FWY_Ref!$B240&lt;&gt;0,FWY_Project!$E71="Yes",FWY_Project!$F71&lt;FWY_Project!$C71),FWY_Project!$C71-FWY_Project!$F71,0))))</f>
        <v>0</v>
      </c>
      <c r="I279">
        <f>IF($J$11=FALSE,0,IF(F279="Already Removed",0,IF(AND($E279="Concrete Barrier",$F279="Y"),$B279,IF(AND($E279="Concrete Barrier",FWY_Ref!$B240&lt;&gt;0,FWY_Project!$E71="Yes",FWY_Project!$F71&lt;FWY_Project!$C71),FWY_Project!$C71-FWY_Project!$F71,0))))</f>
        <v>0</v>
      </c>
      <c r="J279">
        <f>IF($J$11=FALSE,IF($F279="Already Removed",IF($E279="Guardrail",$H240,0),0),IF($F279="Already Removed",IF($E279="Guardrail",$B279,0),IF($B240=0,0,IF(FWY_Project!$F71&gt;FWY_Project!$C71,IF(AND($E279="Guardrail",FWY_Project!$E71="Yes"),FWY_Ref!$B279-$B240,0),0))))</f>
        <v>0</v>
      </c>
      <c r="K279">
        <f>IF($J$11=FALSE,IF($F279="Already Removed",IF($E279="Cable Barrier",$I240,0),0),IF(F279="Already Removed",IF($E279="Cable Barrier",$B279,0),IF($B240=0,0,IF(FWY_Project!$F71&gt;FWY_Project!$C71,IF(AND($E279="Cable Barrier",FWY_Project!$E71="Yes"),FWY_Ref!$B279-$B240,0),0))))</f>
        <v>0</v>
      </c>
      <c r="L279">
        <f>IF($J$11=FALSE,IF($F279="Already Removed",IF($E279="Cable Barrier",$J240,0),0),IF(F279="Already Removed",IF($E279="Cable Barrier",$B279,0),IF($B240=0,0,IF(FWY_Project!$F71&gt;FWY_Project!$C71,IF(AND($E279="Concrete Barrier",FWY_Project!$E71="Yes"),FWY_Ref!$B279-$B240,0),0))))</f>
        <v>0</v>
      </c>
    </row>
    <row r="280" spans="1:12" x14ac:dyDescent="0.25">
      <c r="A280">
        <v>4</v>
      </c>
      <c r="B280">
        <f>IF(AND(A280&lt;=FWY_Project!$C$31,FWY_Project!$C$105&lt;&gt;4),IF(FWY_Project!E72="No",FWY_Project!C72,FWY_Project!F72),0)</f>
        <v>0</v>
      </c>
      <c r="C280">
        <f>IF(A280&lt;=FWY_Project!$C$31,FWY_Project!D72,0)</f>
        <v>0</v>
      </c>
      <c r="D280">
        <f t="shared" si="7"/>
        <v>0</v>
      </c>
      <c r="E280">
        <f>FWY_Project!E42</f>
        <v>0</v>
      </c>
      <c r="F280" t="str">
        <f>IF(G241="Y","Already Removed",IF(FWY_Project!G72="Yes","Y","N"))</f>
        <v>Already Removed</v>
      </c>
      <c r="G280">
        <f>IF($J$11=FALSE,0,IF(F280="Already Removed",0,IF(AND($E280="Guardrail",$F280="Y"),$B280,IF(AND($E280="Guardrail",FWY_Project!$E72="Yes",FWY_Ref!$B241&lt;&gt;0,FWY_Project!$F72&lt;FWY_Project!$C72),FWY_Project!$C72-FWY_Project!$F72,0))))</f>
        <v>0</v>
      </c>
      <c r="H280">
        <f>IF($J$11=FALSE,0,IF(F280="Already Removed",0,IF(AND($E280="Cable Barrier",$F280="Y"),$B280,IF(AND($E280="Cable Barrier",FWY_Ref!$B241&lt;&gt;0,FWY_Project!$E72="Yes",FWY_Project!$F72&lt;FWY_Project!$C72),FWY_Project!$C72-FWY_Project!$F72,0))))</f>
        <v>0</v>
      </c>
      <c r="I280">
        <f>IF($J$11=FALSE,0,IF(F280="Already Removed",0,IF(AND($E280="Concrete Barrier",$F280="Y"),$B280,IF(AND($E280="Concrete Barrier",FWY_Ref!$B241&lt;&gt;0,FWY_Project!$E72="Yes",FWY_Project!$F72&lt;FWY_Project!$C72),FWY_Project!$C72-FWY_Project!$F72,0))))</f>
        <v>0</v>
      </c>
      <c r="J280">
        <f>IF($J$11=FALSE,IF($F280="Already Removed",IF($E280="Guardrail",$H241,0),0),IF($F280="Already Removed",IF($E280="Guardrail",$B280,0),IF($B241=0,0,IF(FWY_Project!$F72&gt;FWY_Project!$C72,IF(AND($E280="Guardrail",FWY_Project!$E72="Yes"),FWY_Ref!$B280-$B241,0),0))))</f>
        <v>0</v>
      </c>
      <c r="K280">
        <f>IF($J$11=FALSE,IF($F280="Already Removed",IF($E280="Cable Barrier",$I241,0),0),IF(F280="Already Removed",IF($E280="Cable Barrier",$B280,0),IF($B241=0,0,IF(FWY_Project!$F72&gt;FWY_Project!$C72,IF(AND($E280="Cable Barrier",FWY_Project!$E72="Yes"),FWY_Ref!$B280-$B241,0),0))))</f>
        <v>0</v>
      </c>
      <c r="L280">
        <f>IF($J$11=FALSE,IF($F280="Already Removed",IF($E280="Cable Barrier",$J241,0),0),IF(F280="Already Removed",IF($E280="Cable Barrier",$B280,0),IF($B241=0,0,IF(FWY_Project!$F72&gt;FWY_Project!$C72,IF(AND($E280="Concrete Barrier",FWY_Project!$E72="Yes"),FWY_Ref!$B280-$B241,0),0))))</f>
        <v>0</v>
      </c>
    </row>
    <row r="281" spans="1:12" x14ac:dyDescent="0.25">
      <c r="A281">
        <v>5</v>
      </c>
      <c r="B281">
        <f>IF(AND(A281&lt;=FWY_Project!$C$31,FWY_Project!$C$105&lt;&gt;4),IF(FWY_Project!E73="No",FWY_Project!C73,FWY_Project!F73),0)</f>
        <v>0</v>
      </c>
      <c r="C281">
        <f>IF(A281&lt;=FWY_Project!$C$31,FWY_Project!D73,0)</f>
        <v>0</v>
      </c>
      <c r="D281">
        <f t="shared" si="7"/>
        <v>0</v>
      </c>
      <c r="E281">
        <f>FWY_Project!E43</f>
        <v>0</v>
      </c>
      <c r="F281" t="str">
        <f>IF(G242="Y","Already Removed",IF(FWY_Project!G73="Yes","Y","N"))</f>
        <v>Already Removed</v>
      </c>
      <c r="G281">
        <f>IF($J$11=FALSE,0,IF(F281="Already Removed",0,IF(AND($E281="Guardrail",$F281="Y"),$B281,IF(AND($E281="Guardrail",FWY_Project!$E73="Yes",FWY_Ref!$B242&lt;&gt;0,FWY_Project!$F73&lt;FWY_Project!$C73),FWY_Project!$C73-FWY_Project!$F73,0))))</f>
        <v>0</v>
      </c>
      <c r="H281">
        <f>IF($J$11=FALSE,0,IF(F281="Already Removed",0,IF(AND($E281="Cable Barrier",$F281="Y"),$B281,IF(AND($E281="Cable Barrier",FWY_Ref!$B242&lt;&gt;0,FWY_Project!$E73="Yes",FWY_Project!$F73&lt;FWY_Project!$C73),FWY_Project!$C73-FWY_Project!$F73,0))))</f>
        <v>0</v>
      </c>
      <c r="I281">
        <f>IF($J$11=FALSE,0,IF(F281="Already Removed",0,IF(AND($E281="Concrete Barrier",$F281="Y"),$B281,IF(AND($E281="Concrete Barrier",FWY_Ref!$B242&lt;&gt;0,FWY_Project!$E73="Yes",FWY_Project!$F73&lt;FWY_Project!$C73),FWY_Project!$C73-FWY_Project!$F73,0))))</f>
        <v>0</v>
      </c>
      <c r="J281">
        <f>IF($J$11=FALSE,IF($F281="Already Removed",IF($E281="Guardrail",$H242,0),0),IF($F281="Already Removed",IF($E281="Guardrail",$B281,0),IF($B242=0,0,IF(FWY_Project!$F73&gt;FWY_Project!$C73,IF(AND($E281="Guardrail",FWY_Project!$E73="Yes"),FWY_Ref!$B281-$B242,0),0))))</f>
        <v>0</v>
      </c>
      <c r="K281">
        <f>IF($J$11=FALSE,IF($F281="Already Removed",IF($E281="Cable Barrier",$I242,0),0),IF(F281="Already Removed",IF($E281="Cable Barrier",$B281,0),IF($B242=0,0,IF(FWY_Project!$F73&gt;FWY_Project!$C73,IF(AND($E281="Cable Barrier",FWY_Project!$E73="Yes"),FWY_Ref!$B281-$B242,0),0))))</f>
        <v>0</v>
      </c>
      <c r="L281">
        <f>IF($J$11=FALSE,IF($F281="Already Removed",IF($E281="Cable Barrier",$J242,0),0),IF(F281="Already Removed",IF($E281="Cable Barrier",$B281,0),IF($B242=0,0,IF(FWY_Project!$F73&gt;FWY_Project!$C73,IF(AND($E281="Concrete Barrier",FWY_Project!$E73="Yes"),FWY_Ref!$B281-$B242,0),0))))</f>
        <v>0</v>
      </c>
    </row>
    <row r="282" spans="1:12" x14ac:dyDescent="0.25">
      <c r="A282">
        <v>6</v>
      </c>
      <c r="B282">
        <f>IF(AND(A282&lt;=FWY_Project!$C$31,FWY_Project!$C$105&lt;&gt;4),IF(FWY_Project!E74="No",FWY_Project!C74,FWY_Project!F74),0)</f>
        <v>0</v>
      </c>
      <c r="C282">
        <f>IF(A282&lt;=FWY_Project!$C$31,FWY_Project!D74,0)</f>
        <v>0</v>
      </c>
      <c r="D282">
        <f t="shared" si="7"/>
        <v>0</v>
      </c>
      <c r="E282">
        <f>FWY_Project!E44</f>
        <v>0</v>
      </c>
      <c r="F282" t="str">
        <f>IF(G243="Y","Already Removed",IF(FWY_Project!G74="Yes","Y","N"))</f>
        <v>Already Removed</v>
      </c>
      <c r="G282">
        <f>IF($J$11=FALSE,0,IF(F282="Already Removed",0,IF(AND($E282="Guardrail",$F282="Y"),$B282,IF(AND($E282="Guardrail",FWY_Project!$E74="Yes",FWY_Ref!$B243&lt;&gt;0,FWY_Project!$F74&lt;FWY_Project!$C74),FWY_Project!$C74-FWY_Project!$F74,0))))</f>
        <v>0</v>
      </c>
      <c r="H282">
        <f>IF($J$11=FALSE,0,IF(F282="Already Removed",0,IF(AND($E282="Cable Barrier",$F282="Y"),$B282,IF(AND($E282="Cable Barrier",FWY_Ref!$B243&lt;&gt;0,FWY_Project!$E74="Yes",FWY_Project!$F74&lt;FWY_Project!$C74),FWY_Project!$C74-FWY_Project!$F74,0))))</f>
        <v>0</v>
      </c>
      <c r="I282">
        <f>IF($J$11=FALSE,0,IF(F282="Already Removed",0,IF(AND($E282="Concrete Barrier",$F282="Y"),$B282,IF(AND($E282="Concrete Barrier",FWY_Ref!$B243&lt;&gt;0,FWY_Project!$E74="Yes",FWY_Project!$F74&lt;FWY_Project!$C74),FWY_Project!$C74-FWY_Project!$F74,0))))</f>
        <v>0</v>
      </c>
      <c r="J282">
        <f>IF($J$11=FALSE,IF($F282="Already Removed",IF($E282="Guardrail",$H243,0),0),IF($F282="Already Removed",IF($E282="Guardrail",$B282,0),IF($B243=0,0,IF(FWY_Project!$F74&gt;FWY_Project!$C74,IF(AND($E282="Guardrail",FWY_Project!$E74="Yes"),FWY_Ref!$B282-$B243,0),0))))</f>
        <v>0</v>
      </c>
      <c r="K282">
        <f>IF($J$11=FALSE,IF($F282="Already Removed",IF($E282="Cable Barrier",$I243,0),0),IF(F282="Already Removed",IF($E282="Cable Barrier",$B282,0),IF($B243=0,0,IF(FWY_Project!$F74&gt;FWY_Project!$C74,IF(AND($E282="Cable Barrier",FWY_Project!$E74="Yes"),FWY_Ref!$B282-$B243,0),0))))</f>
        <v>0</v>
      </c>
      <c r="L282">
        <f>IF($J$11=FALSE,IF($F282="Already Removed",IF($E282="Cable Barrier",$J243,0),0),IF(F282="Already Removed",IF($E282="Cable Barrier",$B282,0),IF($B243=0,0,IF(FWY_Project!$F74&gt;FWY_Project!$C74,IF(AND($E282="Concrete Barrier",FWY_Project!$E74="Yes"),FWY_Ref!$B282-$B243,0),0))))</f>
        <v>0</v>
      </c>
    </row>
    <row r="283" spans="1:12" x14ac:dyDescent="0.25">
      <c r="A283">
        <v>7</v>
      </c>
      <c r="B283">
        <f>IF(AND(A283&lt;=FWY_Project!$C$31,FWY_Project!$C$105&lt;&gt;4),IF(FWY_Project!E75="No",FWY_Project!C75,FWY_Project!F75),0)</f>
        <v>0</v>
      </c>
      <c r="C283">
        <f>IF(A283&lt;=FWY_Project!$C$31,FWY_Project!D75,0)</f>
        <v>0</v>
      </c>
      <c r="D283">
        <f t="shared" si="7"/>
        <v>0</v>
      </c>
      <c r="E283">
        <f>FWY_Project!E45</f>
        <v>0</v>
      </c>
      <c r="F283" t="str">
        <f>IF(G244="Y","Already Removed",IF(FWY_Project!G75="Yes","Y","N"))</f>
        <v>Already Removed</v>
      </c>
      <c r="G283">
        <f>IF($J$11=FALSE,0,IF(F283="Already Removed",0,IF(AND($E283="Guardrail",$F283="Y"),$B283,IF(AND($E283="Guardrail",FWY_Project!$E75="Yes",FWY_Ref!$B244&lt;&gt;0,FWY_Project!$F75&lt;FWY_Project!$C75),FWY_Project!$C75-FWY_Project!$F75,0))))</f>
        <v>0</v>
      </c>
      <c r="H283">
        <f>IF($J$11=FALSE,0,IF(F283="Already Removed",0,IF(AND($E283="Cable Barrier",$F283="Y"),$B283,IF(AND($E283="Cable Barrier",FWY_Ref!$B244&lt;&gt;0,FWY_Project!$E75="Yes",FWY_Project!$F75&lt;FWY_Project!$C75),FWY_Project!$C75-FWY_Project!$F75,0))))</f>
        <v>0</v>
      </c>
      <c r="I283">
        <f>IF($J$11=FALSE,0,IF(F283="Already Removed",0,IF(AND($E283="Concrete Barrier",$F283="Y"),$B283,IF(AND($E283="Concrete Barrier",FWY_Ref!$B244&lt;&gt;0,FWY_Project!$E75="Yes",FWY_Project!$F75&lt;FWY_Project!$C75),FWY_Project!$C75-FWY_Project!$F75,0))))</f>
        <v>0</v>
      </c>
      <c r="J283">
        <f>IF($J$11=FALSE,IF($F283="Already Removed",IF($E283="Guardrail",$H244,0),0),IF($F283="Already Removed",IF($E283="Guardrail",$B283,0),IF($B244=0,0,IF(FWY_Project!$F75&gt;FWY_Project!$C75,IF(AND($E283="Guardrail",FWY_Project!$E75="Yes"),FWY_Ref!$B283-$B244,0),0))))</f>
        <v>0</v>
      </c>
      <c r="K283">
        <f>IF($J$11=FALSE,IF($F283="Already Removed",IF($E283="Cable Barrier",$I244,0),0),IF(F283="Already Removed",IF($E283="Cable Barrier",$B283,0),IF($B244=0,0,IF(FWY_Project!$F75&gt;FWY_Project!$C75,IF(AND($E283="Cable Barrier",FWY_Project!$E75="Yes"),FWY_Ref!$B283-$B244,0),0))))</f>
        <v>0</v>
      </c>
      <c r="L283">
        <f>IF($J$11=FALSE,IF($F283="Already Removed",IF($E283="Cable Barrier",$J244,0),0),IF(F283="Already Removed",IF($E283="Cable Barrier",$B283,0),IF($B244=0,0,IF(FWY_Project!$F75&gt;FWY_Project!$C75,IF(AND($E283="Concrete Barrier",FWY_Project!$E75="Yes"),FWY_Ref!$B283-$B244,0),0))))</f>
        <v>0</v>
      </c>
    </row>
    <row r="284" spans="1:12" x14ac:dyDescent="0.25">
      <c r="A284">
        <v>8</v>
      </c>
      <c r="B284">
        <f>IF(AND(A284&lt;=FWY_Project!$C$31,FWY_Project!$C$105&lt;&gt;4),IF(FWY_Project!E76="No",FWY_Project!C76,FWY_Project!F76),0)</f>
        <v>0</v>
      </c>
      <c r="C284">
        <f>IF(A284&lt;=FWY_Project!$C$31,FWY_Project!D76,0)</f>
        <v>0</v>
      </c>
      <c r="D284">
        <f t="shared" si="7"/>
        <v>0</v>
      </c>
      <c r="E284">
        <f>FWY_Project!E46</f>
        <v>0</v>
      </c>
      <c r="F284" t="str">
        <f>IF(G245="Y","Already Removed",IF(FWY_Project!G76="Yes","Y","N"))</f>
        <v>Already Removed</v>
      </c>
      <c r="G284">
        <f>IF($J$11=FALSE,0,IF(F284="Already Removed",0,IF(AND($E284="Guardrail",$F284="Y"),$B284,IF(AND($E284="Guardrail",FWY_Project!$E76="Yes",FWY_Ref!$B245&lt;&gt;0,FWY_Project!$F76&lt;FWY_Project!$C76),FWY_Project!$C76-FWY_Project!$F76,0))))</f>
        <v>0</v>
      </c>
      <c r="H284">
        <f>IF($J$11=FALSE,0,IF(F284="Already Removed",0,IF(AND($E284="Cable Barrier",$F284="Y"),$B284,IF(AND($E284="Cable Barrier",FWY_Ref!$B245&lt;&gt;0,FWY_Project!$E76="Yes",FWY_Project!$F76&lt;FWY_Project!$C76),FWY_Project!$C76-FWY_Project!$F76,0))))</f>
        <v>0</v>
      </c>
      <c r="I284">
        <f>IF($J$11=FALSE,0,IF(F284="Already Removed",0,IF(AND($E284="Concrete Barrier",$F284="Y"),$B284,IF(AND($E284="Concrete Barrier",FWY_Ref!$B245&lt;&gt;0,FWY_Project!$E76="Yes",FWY_Project!$F76&lt;FWY_Project!$C76),FWY_Project!$C76-FWY_Project!$F76,0))))</f>
        <v>0</v>
      </c>
      <c r="J284">
        <f>IF($J$11=FALSE,IF($F284="Already Removed",IF($E284="Guardrail",$H245,0),0),IF($F284="Already Removed",IF($E284="Guardrail",$B284,0),IF($B245=0,0,IF(FWY_Project!$F76&gt;FWY_Project!$C76,IF(AND($E284="Guardrail",FWY_Project!$E76="Yes"),FWY_Ref!$B284-$B245,0),0))))</f>
        <v>0</v>
      </c>
      <c r="K284">
        <f>IF($J$11=FALSE,IF($F284="Already Removed",IF($E284="Cable Barrier",$I245,0),0),IF(F284="Already Removed",IF($E284="Cable Barrier",$B284,0),IF($B245=0,0,IF(FWY_Project!$F76&gt;FWY_Project!$C76,IF(AND($E284="Cable Barrier",FWY_Project!$E76="Yes"),FWY_Ref!$B284-$B245,0),0))))</f>
        <v>0</v>
      </c>
      <c r="L284">
        <f>IF($J$11=FALSE,IF($F284="Already Removed",IF($E284="Cable Barrier",$J245,0),0),IF(F284="Already Removed",IF($E284="Cable Barrier",$B284,0),IF($B245=0,0,IF(FWY_Project!$F76&gt;FWY_Project!$C76,IF(AND($E284="Concrete Barrier",FWY_Project!$E76="Yes"),FWY_Ref!$B284-$B245,0),0))))</f>
        <v>0</v>
      </c>
    </row>
    <row r="285" spans="1:12" x14ac:dyDescent="0.25">
      <c r="A285">
        <v>9</v>
      </c>
      <c r="B285">
        <f>IF(AND(A285&lt;=FWY_Project!$C$31,FWY_Project!$C$105&lt;&gt;4),IF(FWY_Project!E77="No",FWY_Project!C77,FWY_Project!F77),0)</f>
        <v>0</v>
      </c>
      <c r="C285">
        <f>IF(A285&lt;=FWY_Project!$C$31,FWY_Project!D77,0)</f>
        <v>0</v>
      </c>
      <c r="D285">
        <f t="shared" si="7"/>
        <v>0</v>
      </c>
      <c r="E285">
        <f>FWY_Project!E47</f>
        <v>0</v>
      </c>
      <c r="F285" t="str">
        <f>IF(G246="Y","Already Removed",IF(FWY_Project!G77="Yes","Y","N"))</f>
        <v>Already Removed</v>
      </c>
      <c r="G285">
        <f>IF($J$11=FALSE,0,IF(F285="Already Removed",0,IF(AND($E285="Guardrail",$F285="Y"),$B285,IF(AND($E285="Guardrail",FWY_Project!$E77="Yes",FWY_Ref!$B246&lt;&gt;0,FWY_Project!$F77&lt;FWY_Project!$C77),FWY_Project!$C77-FWY_Project!$F77,0))))</f>
        <v>0</v>
      </c>
      <c r="H285">
        <f>IF($J$11=FALSE,0,IF(F285="Already Removed",0,IF(AND($E285="Cable Barrier",$F285="Y"),$B285,IF(AND($E285="Cable Barrier",FWY_Ref!$B246&lt;&gt;0,FWY_Project!$E77="Yes",FWY_Project!$F77&lt;FWY_Project!$C77),FWY_Project!$C77-FWY_Project!$F77,0))))</f>
        <v>0</v>
      </c>
      <c r="I285">
        <f>IF($J$11=FALSE,0,IF(F285="Already Removed",0,IF(AND($E285="Concrete Barrier",$F285="Y"),$B285,IF(AND($E285="Concrete Barrier",FWY_Ref!$B246&lt;&gt;0,FWY_Project!$E77="Yes",FWY_Project!$F77&lt;FWY_Project!$C77),FWY_Project!$C77-FWY_Project!$F77,0))))</f>
        <v>0</v>
      </c>
      <c r="J285">
        <f>IF($J$11=FALSE,IF($F285="Already Removed",IF($E285="Guardrail",$H246,0),0),IF($F285="Already Removed",IF($E285="Guardrail",$B285,0),IF($B246=0,0,IF(FWY_Project!$F77&gt;FWY_Project!$C77,IF(AND($E285="Guardrail",FWY_Project!$E77="Yes"),FWY_Ref!$B285-$B246,0),0))))</f>
        <v>0</v>
      </c>
      <c r="K285">
        <f>IF($J$11=FALSE,IF($F285="Already Removed",IF($E285="Cable Barrier",$I246,0),0),IF(F285="Already Removed",IF($E285="Cable Barrier",$B285,0),IF($B246=0,0,IF(FWY_Project!$F77&gt;FWY_Project!$C77,IF(AND($E285="Cable Barrier",FWY_Project!$E77="Yes"),FWY_Ref!$B285-$B246,0),0))))</f>
        <v>0</v>
      </c>
      <c r="L285">
        <f>IF($J$11=FALSE,IF($F285="Already Removed",IF($E285="Cable Barrier",$J246,0),0),IF(F285="Already Removed",IF($E285="Cable Barrier",$B285,0),IF($B246=0,0,IF(FWY_Project!$F77&gt;FWY_Project!$C77,IF(AND($E285="Concrete Barrier",FWY_Project!$E77="Yes"),FWY_Ref!$B285-$B246,0),0))))</f>
        <v>0</v>
      </c>
    </row>
    <row r="286" spans="1:12" x14ac:dyDescent="0.25">
      <c r="A286">
        <v>10</v>
      </c>
      <c r="B286">
        <f>IF(AND(A286&lt;=FWY_Project!$C$31,FWY_Project!$C$105&lt;&gt;4),IF(FWY_Project!E78="No",FWY_Project!C78,FWY_Project!F78),0)</f>
        <v>0</v>
      </c>
      <c r="C286">
        <f>IF(A286&lt;=FWY_Project!$C$31,FWY_Project!D78,0)</f>
        <v>0</v>
      </c>
      <c r="D286">
        <f t="shared" si="7"/>
        <v>0</v>
      </c>
      <c r="E286">
        <f>FWY_Project!E48</f>
        <v>0</v>
      </c>
      <c r="F286" t="str">
        <f>IF(G247="Y","Already Removed",IF(FWY_Project!G78="Yes","Y","N"))</f>
        <v>Already Removed</v>
      </c>
      <c r="G286">
        <f>IF($J$11=FALSE,0,IF(F286="Already Removed",0,IF(AND($E286="Guardrail",$F286="Y"),$B286,IF(AND($E286="Guardrail",FWY_Project!$E78="Yes",FWY_Ref!$B247&lt;&gt;0,FWY_Project!$F78&lt;FWY_Project!$C78),FWY_Project!$C78-FWY_Project!$F78,0))))</f>
        <v>0</v>
      </c>
      <c r="H286">
        <f>IF($J$11=FALSE,0,IF(F286="Already Removed",0,IF(AND($E286="Cable Barrier",$F286="Y"),$B286,IF(AND($E286="Cable Barrier",FWY_Ref!$B247&lt;&gt;0,FWY_Project!$E78="Yes",FWY_Project!$F78&lt;FWY_Project!$C78),FWY_Project!$C78-FWY_Project!$F78,0))))</f>
        <v>0</v>
      </c>
      <c r="I286">
        <f>IF($J$11=FALSE,0,IF(F286="Already Removed",0,IF(AND($E286="Concrete Barrier",$F286="Y"),$B286,IF(AND($E286="Concrete Barrier",FWY_Ref!$B247&lt;&gt;0,FWY_Project!$E78="Yes",FWY_Project!$F78&lt;FWY_Project!$C78),FWY_Project!$C78-FWY_Project!$F78,0))))</f>
        <v>0</v>
      </c>
      <c r="J286">
        <f>IF($J$11=FALSE,IF($F286="Already Removed",IF($E286="Guardrail",$H247,0),0),IF($F286="Already Removed",IF($E286="Guardrail",$B286,0),IF($B247=0,0,IF(FWY_Project!$F78&gt;FWY_Project!$C78,IF(AND($E286="Guardrail",FWY_Project!$E78="Yes"),FWY_Ref!$B286-$B247,0),0))))</f>
        <v>0</v>
      </c>
      <c r="K286">
        <f>IF($J$11=FALSE,IF($F286="Already Removed",IF($E286="Cable Barrier",$I247,0),0),IF(F286="Already Removed",IF($E286="Cable Barrier",$B286,0),IF($B247=0,0,IF(FWY_Project!$F78&gt;FWY_Project!$C78,IF(AND($E286="Cable Barrier",FWY_Project!$E78="Yes"),FWY_Ref!$B286-$B247,0),0))))</f>
        <v>0</v>
      </c>
      <c r="L286">
        <f>IF($J$11=FALSE,IF($F286="Already Removed",IF($E286="Cable Barrier",$J247,0),0),IF(F286="Already Removed",IF($E286="Cable Barrier",$B286,0),IF($B247=0,0,IF(FWY_Project!$F78&gt;FWY_Project!$C78,IF(AND($E286="Concrete Barrier",FWY_Project!$E78="Yes"),FWY_Ref!$B286-$B247,0),0))))</f>
        <v>0</v>
      </c>
    </row>
    <row r="287" spans="1:12" x14ac:dyDescent="0.25">
      <c r="A287">
        <v>1</v>
      </c>
      <c r="B287">
        <f>IF(AND($A287&lt;=FWY_Project!$C$61,$J$11=TRUE),FWY_Project!C82,0)</f>
        <v>0</v>
      </c>
      <c r="C287">
        <f>IF($A287&lt;=FWY_Project!$C$61,FWY_Project!D82,0)</f>
        <v>0</v>
      </c>
      <c r="D287">
        <f t="shared" si="7"/>
        <v>0</v>
      </c>
      <c r="E287" t="str">
        <f>FWY_Project!E82</f>
        <v>Guardrail</v>
      </c>
      <c r="J287">
        <f>IF($J$11=FALSE,0,IF($E287="Guardrail",$B287,0))</f>
        <v>0</v>
      </c>
      <c r="K287">
        <f>IF($J$11=FALSE,0,IF($E287="Cable Barrier",$B287,0))</f>
        <v>0</v>
      </c>
      <c r="L287">
        <f>IF($J$11=FALSE,0,IF($E287="Concrete Barrier",$B287,0))</f>
        <v>0</v>
      </c>
    </row>
    <row r="288" spans="1:12" x14ac:dyDescent="0.25">
      <c r="A288">
        <v>2</v>
      </c>
      <c r="B288">
        <f>IF(AND($A288&lt;=FWY_Project!$C$61,$J$11=TRUE),FWY_Project!C83,0)</f>
        <v>0</v>
      </c>
      <c r="C288">
        <f>IF($A288&lt;=FWY_Project!$C$61,FWY_Project!D83,0)</f>
        <v>0</v>
      </c>
      <c r="D288">
        <f t="shared" si="7"/>
        <v>0</v>
      </c>
      <c r="E288">
        <f>FWY_Project!E83</f>
        <v>0</v>
      </c>
      <c r="J288">
        <f t="shared" ref="J288:J296" si="8">IF($J$11=FALSE,0,IF($E288="Guardrail",$B288,0))</f>
        <v>0</v>
      </c>
      <c r="K288">
        <f t="shared" ref="K288:K296" si="9">IF($J$11=FALSE,0,IF($E288="Cable Barrier",$B288,0))</f>
        <v>0</v>
      </c>
      <c r="L288">
        <f t="shared" ref="L288:L296" si="10">IF($J$11=FALSE,0,IF($E288="Concrete Barrier",$B288,0))</f>
        <v>0</v>
      </c>
    </row>
    <row r="289" spans="1:12" x14ac:dyDescent="0.25">
      <c r="A289">
        <v>3</v>
      </c>
      <c r="B289">
        <f>IF(AND($A289&lt;=FWY_Project!$C$61,$J$11=TRUE),FWY_Project!C84,0)</f>
        <v>0</v>
      </c>
      <c r="C289">
        <f>IF($A289&lt;=FWY_Project!$C$61,FWY_Project!D84,0)</f>
        <v>0</v>
      </c>
      <c r="D289">
        <f t="shared" si="7"/>
        <v>0</v>
      </c>
      <c r="E289">
        <f>FWY_Project!E84</f>
        <v>0</v>
      </c>
      <c r="J289">
        <f t="shared" si="8"/>
        <v>0</v>
      </c>
      <c r="K289">
        <f t="shared" si="9"/>
        <v>0</v>
      </c>
      <c r="L289">
        <f t="shared" si="10"/>
        <v>0</v>
      </c>
    </row>
    <row r="290" spans="1:12" x14ac:dyDescent="0.25">
      <c r="A290">
        <v>4</v>
      </c>
      <c r="B290">
        <f>IF(AND($A290&lt;=FWY_Project!$C$61,$J$11=TRUE),FWY_Project!C85,0)</f>
        <v>0</v>
      </c>
      <c r="C290">
        <f>IF($A290&lt;=FWY_Project!$C$61,FWY_Project!D85,0)</f>
        <v>0</v>
      </c>
      <c r="D290">
        <f t="shared" si="7"/>
        <v>0</v>
      </c>
      <c r="E290">
        <f>FWY_Project!E85</f>
        <v>0</v>
      </c>
      <c r="J290">
        <f t="shared" si="8"/>
        <v>0</v>
      </c>
      <c r="K290">
        <f t="shared" si="9"/>
        <v>0</v>
      </c>
      <c r="L290">
        <f t="shared" si="10"/>
        <v>0</v>
      </c>
    </row>
    <row r="291" spans="1:12" x14ac:dyDescent="0.25">
      <c r="A291">
        <v>5</v>
      </c>
      <c r="B291">
        <f>IF(AND($A291&lt;=FWY_Project!$C$61,$J$11=TRUE),FWY_Project!C86,0)</f>
        <v>0</v>
      </c>
      <c r="C291">
        <f>IF($A291&lt;=FWY_Project!$C$61,FWY_Project!D86,0)</f>
        <v>0</v>
      </c>
      <c r="D291">
        <f t="shared" si="7"/>
        <v>0</v>
      </c>
      <c r="E291">
        <f>FWY_Project!E86</f>
        <v>0</v>
      </c>
      <c r="J291">
        <f t="shared" si="8"/>
        <v>0</v>
      </c>
      <c r="K291">
        <f t="shared" si="9"/>
        <v>0</v>
      </c>
      <c r="L291">
        <f t="shared" si="10"/>
        <v>0</v>
      </c>
    </row>
    <row r="292" spans="1:12" x14ac:dyDescent="0.25">
      <c r="A292">
        <v>6</v>
      </c>
      <c r="B292">
        <f>IF(AND($A292&lt;=FWY_Project!$C$61,$J$11=TRUE),FWY_Project!C87,0)</f>
        <v>0</v>
      </c>
      <c r="C292">
        <f>IF($A292&lt;=FWY_Project!$C$61,FWY_Project!D87,0)</f>
        <v>0</v>
      </c>
      <c r="D292">
        <f t="shared" si="7"/>
        <v>0</v>
      </c>
      <c r="E292">
        <f>FWY_Project!E87</f>
        <v>0</v>
      </c>
      <c r="J292">
        <f t="shared" si="8"/>
        <v>0</v>
      </c>
      <c r="K292">
        <f t="shared" si="9"/>
        <v>0</v>
      </c>
      <c r="L292">
        <f t="shared" si="10"/>
        <v>0</v>
      </c>
    </row>
    <row r="293" spans="1:12" x14ac:dyDescent="0.25">
      <c r="A293">
        <v>7</v>
      </c>
      <c r="B293">
        <f>IF(AND($A293&lt;=FWY_Project!$C$61,$J$11=TRUE),FWY_Project!C88,0)</f>
        <v>0</v>
      </c>
      <c r="C293">
        <f>IF($A293&lt;=FWY_Project!$C$61,FWY_Project!D88,0)</f>
        <v>0</v>
      </c>
      <c r="D293">
        <f t="shared" si="7"/>
        <v>0</v>
      </c>
      <c r="E293">
        <f>FWY_Project!E88</f>
        <v>0</v>
      </c>
      <c r="J293">
        <f t="shared" si="8"/>
        <v>0</v>
      </c>
      <c r="K293">
        <f t="shared" si="9"/>
        <v>0</v>
      </c>
      <c r="L293">
        <f t="shared" si="10"/>
        <v>0</v>
      </c>
    </row>
    <row r="294" spans="1:12" x14ac:dyDescent="0.25">
      <c r="A294">
        <v>8</v>
      </c>
      <c r="B294">
        <f>IF(AND($A294&lt;=FWY_Project!$C$61,$J$11=TRUE),FWY_Project!C89,0)</f>
        <v>0</v>
      </c>
      <c r="C294">
        <f>IF($A294&lt;=FWY_Project!$C$61,FWY_Project!D89,0)</f>
        <v>0</v>
      </c>
      <c r="D294">
        <f t="shared" si="7"/>
        <v>0</v>
      </c>
      <c r="E294">
        <f>FWY_Project!E89</f>
        <v>0</v>
      </c>
      <c r="J294">
        <f t="shared" si="8"/>
        <v>0</v>
      </c>
      <c r="K294">
        <f t="shared" si="9"/>
        <v>0</v>
      </c>
      <c r="L294">
        <f t="shared" si="10"/>
        <v>0</v>
      </c>
    </row>
    <row r="295" spans="1:12" x14ac:dyDescent="0.25">
      <c r="A295">
        <v>9</v>
      </c>
      <c r="B295">
        <f>IF(AND($A295&lt;=FWY_Project!$C$61,$J$11=TRUE),FWY_Project!C90,0)</f>
        <v>0</v>
      </c>
      <c r="C295">
        <f>IF($A295&lt;=FWY_Project!$C$61,FWY_Project!D90,0)</f>
        <v>0</v>
      </c>
      <c r="D295">
        <f t="shared" si="7"/>
        <v>0</v>
      </c>
      <c r="E295">
        <f>FWY_Project!E90</f>
        <v>0</v>
      </c>
      <c r="J295">
        <f t="shared" si="8"/>
        <v>0</v>
      </c>
      <c r="K295">
        <f t="shared" si="9"/>
        <v>0</v>
      </c>
      <c r="L295">
        <f t="shared" si="10"/>
        <v>0</v>
      </c>
    </row>
    <row r="296" spans="1:12" x14ac:dyDescent="0.25">
      <c r="A296">
        <v>10</v>
      </c>
      <c r="B296">
        <f>IF(AND($A296&lt;=FWY_Project!$C$61,$J$11=TRUE),FWY_Project!C91,0)</f>
        <v>0</v>
      </c>
      <c r="C296">
        <f>IF($A296&lt;=FWY_Project!$C$61,FWY_Project!D91,0)</f>
        <v>0</v>
      </c>
      <c r="D296">
        <f t="shared" si="7"/>
        <v>0</v>
      </c>
      <c r="E296">
        <f>FWY_Project!E91</f>
        <v>0</v>
      </c>
      <c r="J296">
        <f t="shared" si="8"/>
        <v>0</v>
      </c>
      <c r="K296">
        <f t="shared" si="9"/>
        <v>0</v>
      </c>
      <c r="L296">
        <f t="shared" si="10"/>
        <v>0</v>
      </c>
    </row>
    <row r="297" spans="1:12" x14ac:dyDescent="0.25">
      <c r="B297" t="s">
        <v>655</v>
      </c>
      <c r="C297" t="s">
        <v>654</v>
      </c>
    </row>
    <row r="298" spans="1:12" x14ac:dyDescent="0.25">
      <c r="A298">
        <v>1</v>
      </c>
      <c r="B298">
        <f>IF(0.5*(IF(J80=1,J83,FWY_Project!C20)-2*FWY_Ref!N9-FWY_Project!C63)&lt;0.75,2*C20/(SUM(D277:D296)+(2*C20-SUM(B277:B296))/0.75),2*C20/(SUM(D277:D296)+(2*C20-SUM(B277:B296))/(0.5*(IF(J80=1,J83,FWY_Project!C20)-2*FWY_Ref!N9-FWY_Project!C63))))</f>
        <v>12.5</v>
      </c>
      <c r="C298">
        <v>1</v>
      </c>
    </row>
    <row r="299" spans="1:12" x14ac:dyDescent="0.25">
      <c r="A299">
        <v>2</v>
      </c>
      <c r="B299">
        <f>IF(IF(A274=2,FWY_Project!C64,FWY_Project!C34-IF($J$80=1,$D$182/2*($N$7-$E$88),0))-FWY_Ref!N9&lt;0.75,IF(IF(J80=1,J83,FWY_Project!C20)-2*FWY_Ref!N9-FWY_Project!C63-IF(A274=2,FWY_Project!C64,FWY_Project!C34-IF($J$80=1,$D$182/2*($N$7-$E$88),0))&lt;0.75,2*C20/(C20/0.75+SUM(FWY_Ref!D277:D296)+(C20-SUM(FWY_Ref!B277:B296))/0.75),2*C20/(C20/0.75+SUM(FWY_Ref!D277:D296)+(C20-SUM(FWY_Ref!B277:B296))/(IF(J80=1,J83,FWY_Project!C20)-2*FWY_Ref!N9-FWY_Project!C63-IF(A274=2,FWY_Project!C64,FWY_Project!C34-IF($J$80=1,$D$182/2*($N$7-$E$88),0))))),IF(IF(J80=1,J83,FWY_Project!C20)-2*FWY_Ref!N9-FWY_Project!C63-IF(A274=2,FWY_Project!C64,FWY_Project!C34-IF($J$80=1,$D$182/2*($N$7-$E$88),0))&lt;0.75,2*C20/(C20/(IF(A274=2,FWY_Project!C64,FWY_Project!C34-IF($J$80=1,$D$182/2*($N$7-$E$88),0))-FWY_Ref!N9)+SUM(FWY_Ref!D277:D296)+(C20-SUM(FWY_Ref!B277:B296))/0.75),2*C20/(C20/(IF(A274=2,FWY_Project!C64,FWY_Project!C34-IF($J$80=1,$D$182/2*($N$7-$E$88),0))-FWY_Ref!N9)+SUM(FWY_Ref!D277:D296)+(C20-SUM(FWY_Ref!B277:B296))/(IF(J80=1,J83,FWY_Project!C20)-2*FWY_Ref!N9-FWY_Project!C63-IF(A274=2,FWY_Project!C64,FWY_Project!C34-IF($J$80=1,$D$182/2*($N$7-$E$88),0))))))</f>
        <v>10.434782608695652</v>
      </c>
      <c r="C299">
        <v>1</v>
      </c>
    </row>
    <row r="300" spans="1:12" x14ac:dyDescent="0.25">
      <c r="A300">
        <v>3</v>
      </c>
      <c r="B300" t="e">
        <f>SUM(B277:B296)/SUM(D277:D296)</f>
        <v>#DIV/0!</v>
      </c>
      <c r="C300">
        <f>SUM(B277:B296)/(2*C20)</f>
        <v>0</v>
      </c>
    </row>
    <row r="302" spans="1:12" x14ac:dyDescent="0.25">
      <c r="A302" t="s">
        <v>653</v>
      </c>
      <c r="G302" s="854" t="s">
        <v>652</v>
      </c>
      <c r="H302" s="854"/>
      <c r="I302" s="854"/>
      <c r="J302" s="854" t="s">
        <v>651</v>
      </c>
      <c r="K302" s="854"/>
      <c r="L302" s="854"/>
    </row>
    <row r="303" spans="1:12" x14ac:dyDescent="0.25">
      <c r="A303" t="s">
        <v>439</v>
      </c>
      <c r="B303" t="s">
        <v>434</v>
      </c>
      <c r="C303" t="s">
        <v>433</v>
      </c>
      <c r="D303" t="s">
        <v>650</v>
      </c>
      <c r="E303" t="s">
        <v>432</v>
      </c>
      <c r="F303" t="s">
        <v>649</v>
      </c>
      <c r="G303" t="s">
        <v>431</v>
      </c>
      <c r="H303" t="s">
        <v>648</v>
      </c>
      <c r="I303" t="s">
        <v>647</v>
      </c>
      <c r="J303" t="s">
        <v>431</v>
      </c>
      <c r="K303" t="s">
        <v>648</v>
      </c>
      <c r="L303" t="s">
        <v>647</v>
      </c>
    </row>
    <row r="304" spans="1:12" x14ac:dyDescent="0.25">
      <c r="A304">
        <v>1</v>
      </c>
      <c r="B304">
        <f>IF(AND($A304&lt;=FWY_Project!$L$33,FWY_Project!$C$106=1),IF(FWY_Project!M69="Yes",FWY_Project!O69,FWY_Project!J69),0)</f>
        <v>0</v>
      </c>
      <c r="C304">
        <f>IF($A304&lt;=FWY_Project!$L$33,FWY_Project!L69,0)</f>
        <v>8</v>
      </c>
      <c r="D304">
        <f>IF(C304-$N$8&lt;0.75,IF(B304=0,0,B304/0.75),IF(B304=0,0,B304/(C304-$N$8)))</f>
        <v>0</v>
      </c>
      <c r="E304" t="str">
        <f>FWY_Project!M39</f>
        <v>Guardrail</v>
      </c>
      <c r="F304" t="str">
        <f>IF(G256="Y","Already Removed",IF(FWY_Project!P69="Yes","Y","N"))</f>
        <v>N</v>
      </c>
      <c r="G304">
        <f>IF($J$12=FALSE,0,IF($F304="Already Removed",0,IF(AND($E304="Guardrail",$F304="Y"),$B304,IF(AND($E304="Guardrail",FWY_Ref!$B256&lt;&gt;0,FWY_Project!$M69="Yes",FWY_Project!$O69&lt;FWY_Project!$J69),FWY_Project!$O69-FWY_Project!$J69,0))))</f>
        <v>0</v>
      </c>
      <c r="H304">
        <f>IF($J$12=FALSE,0,IF($F304="Already Removed",0,IF(AND($E304="Cable Barrier",$F304="Y"),$B304,IF(AND($E304="Cable Barrier",FWY_Ref!$B256&lt;&gt;0,FWY_Project!$M69="Yes",FWY_Project!$O69&lt;FWY_Project!$J69),FWY_Project!$O69-FWY_Project!$J69,0))))</f>
        <v>0</v>
      </c>
      <c r="I304">
        <f>IF($J$12=FALSE,0,IF($F304="Already Removed",0,IF(AND($E304="Concrete Barrier",$F304="Y"),$B304,IF(AND($E304="Concrete Barrier",FWY_Ref!$B256&lt;&gt;0,FWY_Project!$M69="Yes",FWY_Project!$O69&lt;FWY_Project!$J69),FWY_Project!$O69-FWY_Project!$J69,0))))</f>
        <v>0</v>
      </c>
      <c r="J304">
        <f>IF($J$12=FALSE,IF($F304="Already Removed",$H256,0),IF($F304="Already Removed",IF($E304="Guardrail",$B304,0),IF($B256=0,0,IF(FWY_Project!$O69&gt;FWY_Project!$J69,IF(AND($E304="Guardrail",FWY_Project!$M69="Yes"),FWY_Ref!$B304-$B256,0),0))))</f>
        <v>0</v>
      </c>
      <c r="K304">
        <f>IF($J$12=FALSE,IF($F304="Already Removed",$I256,0),IF($F304="Already Removed",IF($E304="Cable Barrier",$B304,0),IF($B256=0,0,IF(FWY_Project!$O69&gt;FWY_Project!$J69,IF(AND($E304="Cable Barrier",FWY_Project!$M69="Yes"),FWY_Ref!$B304-$B256,0),0))))</f>
        <v>0</v>
      </c>
      <c r="L304">
        <f>IF($J$12=FALSE,IF($F304="Already Removed",$J256,0),IF($F304="Already Removed",IF($E304="Concrete Barrier",$B304,0),IF($B256=0,0,IF(FWY_Project!$O69&gt;FWY_Project!$J69,IF(AND($E304="Concrete Barrier",FWY_Project!$M69="Yes"),FWY_Ref!$B304-$B256,0),0))))</f>
        <v>0</v>
      </c>
    </row>
    <row r="305" spans="1:12" x14ac:dyDescent="0.25">
      <c r="A305">
        <v>2</v>
      </c>
      <c r="B305">
        <f>IF(AND($A305&lt;=FWY_Project!$L$33,FWY_Project!$C$106=1),IF(FWY_Project!M70="Yes",FWY_Project!O70,FWY_Project!J70),0)</f>
        <v>0</v>
      </c>
      <c r="C305">
        <f>IF($A305&lt;=FWY_Project!$L$33,FWY_Project!L70,0)</f>
        <v>0</v>
      </c>
      <c r="D305">
        <f t="shared" ref="D305:D323" si="11">IF(C305-$N$8&lt;0.75,IF(B305=0,0,B305/0.75),IF(B305=0,0,B305/(C305-$N$8)))</f>
        <v>0</v>
      </c>
      <c r="E305">
        <f>FWY_Project!M40</f>
        <v>0</v>
      </c>
      <c r="F305" t="str">
        <f>IF(G257="Y","Already Removed",IF(FWY_Project!P70="Yes","Y","N"))</f>
        <v>N</v>
      </c>
      <c r="G305">
        <f>IF($J$12=FALSE,0,IF($F305="Already Removed",0,IF(AND($E305="Guardrail",$F305="Y"),$B305,IF(AND($E305="Guardrail",FWY_Ref!$B257&lt;&gt;0,FWY_Project!$M70="Yes",FWY_Project!$O70&lt;FWY_Project!$J70),FWY_Project!$O70-FWY_Project!$J70,0))))</f>
        <v>0</v>
      </c>
      <c r="H305">
        <f>IF($J$12=FALSE,0,IF($F305="Already Removed",0,IF(AND($E305="Cable Barrier",$F305="Y"),$B305,IF(AND($E305="Cable Barrier",FWY_Ref!$B257&lt;&gt;0,FWY_Project!$M70="Yes",FWY_Project!$O70&lt;FWY_Project!$J70),FWY_Project!$O70-FWY_Project!$J70,0))))</f>
        <v>0</v>
      </c>
      <c r="I305">
        <f>IF($J$12=FALSE,0,IF($F305="Already Removed",0,IF(AND($E305="Concrete Barrier",$F305="Y"),$B305,IF(AND($E305="Concrete Barrier",FWY_Ref!$B257&lt;&gt;0,FWY_Project!$M70="Yes",FWY_Project!$O70&lt;FWY_Project!$J70),FWY_Project!$O70-FWY_Project!$J70,0))))</f>
        <v>0</v>
      </c>
      <c r="J305">
        <f>IF($J$12=FALSE,IF($F305="Already Removed",$H257,0),IF($F305="Already Removed",IF($E305="Guardrail",$B305,0),IF($B257=0,0,IF(FWY_Project!$O70&gt;FWY_Project!$J70,IF(AND($E305="Guardrail",FWY_Project!$M70="Yes"),FWY_Ref!$B305-$B257,0),0))))</f>
        <v>0</v>
      </c>
      <c r="K305">
        <f>IF($J$12=FALSE,IF($F305="Already Removed",$I257,0),IF($F305="Already Removed",IF($E305="Cable Barrier",$B305,0),IF($B257=0,0,IF(FWY_Project!$O70&gt;FWY_Project!$J70,IF(AND($E305="Cable Barrier",FWY_Project!$M70="Yes"),FWY_Ref!$B305-$B257,0),0))))</f>
        <v>0</v>
      </c>
      <c r="L305">
        <f>IF($J$12=FALSE,IF($F305="Already Removed",$J257,0),IF($F305="Already Removed",IF($E305="Concrete Barrier",$B305,0),IF($B257=0,0,IF(FWY_Project!$O70&gt;FWY_Project!$J70,IF(AND($E305="Concrete Barrier",FWY_Project!$M70="Yes"),FWY_Ref!$B305-$B257,0),0))))</f>
        <v>0</v>
      </c>
    </row>
    <row r="306" spans="1:12" x14ac:dyDescent="0.25">
      <c r="A306">
        <v>3</v>
      </c>
      <c r="B306">
        <f>IF(AND($A306&lt;=FWY_Project!$L$33,FWY_Project!$C$106=1),IF(FWY_Project!M71="Yes",FWY_Project!O71,FWY_Project!J71),0)</f>
        <v>0</v>
      </c>
      <c r="C306">
        <f>IF($A306&lt;=FWY_Project!$L$33,FWY_Project!L71,0)</f>
        <v>0</v>
      </c>
      <c r="D306">
        <f t="shared" si="11"/>
        <v>0</v>
      </c>
      <c r="E306">
        <f>FWY_Project!M41</f>
        <v>0</v>
      </c>
      <c r="F306" t="str">
        <f>IF(G258="Y","Already Removed",IF(FWY_Project!P71="Yes","Y","N"))</f>
        <v>N</v>
      </c>
      <c r="G306">
        <f>IF($J$12=FALSE,0,IF($F306="Already Removed",0,IF(AND($E306="Guardrail",$F306="Y"),$B306,IF(AND($E306="Guardrail",FWY_Ref!$B258&lt;&gt;0,FWY_Project!$M71="Yes",FWY_Project!$O71&lt;FWY_Project!$J71),FWY_Project!$O71-FWY_Project!$J71,0))))</f>
        <v>0</v>
      </c>
      <c r="H306">
        <f>IF($J$12=FALSE,0,IF($F306="Already Removed",0,IF(AND($E306="Cable Barrier",$F306="Y"),$B306,IF(AND($E306="Cable Barrier",FWY_Ref!$B258&lt;&gt;0,FWY_Project!$M71="Yes",FWY_Project!$O71&lt;FWY_Project!$J71),FWY_Project!$O71-FWY_Project!$J71,0))))</f>
        <v>0</v>
      </c>
      <c r="I306">
        <f>IF($J$12=FALSE,0,IF($F306="Already Removed",0,IF(AND($E306="Concrete Barrier",$F306="Y"),$B306,IF(AND($E306="Concrete Barrier",FWY_Ref!$B258&lt;&gt;0,FWY_Project!$M71="Yes",FWY_Project!$O71&lt;FWY_Project!$J71),FWY_Project!$O71-FWY_Project!$J71,0))))</f>
        <v>0</v>
      </c>
      <c r="J306">
        <f>IF($J$12=FALSE,IF($F306="Already Removed",$H258,0),IF($F306="Already Removed",IF($E306="Guardrail",$B306,0),IF($B258=0,0,IF(FWY_Project!$O71&gt;FWY_Project!$J71,IF(AND($E306="Guardrail",FWY_Project!$M71="Yes"),FWY_Ref!$B306-$B258,0),0))))</f>
        <v>0</v>
      </c>
      <c r="K306">
        <f>IF($J$12=FALSE,IF($F306="Already Removed",$I258,0),IF($F306="Already Removed",IF($E306="Cable Barrier",$B306,0),IF($B258=0,0,IF(FWY_Project!$O71&gt;FWY_Project!$J71,IF(AND($E306="Cable Barrier",FWY_Project!$M71="Yes"),FWY_Ref!$B306-$B258,0),0))))</f>
        <v>0</v>
      </c>
      <c r="L306">
        <f>IF($J$12=FALSE,IF($F306="Already Removed",$J258,0),IF($F306="Already Removed",IF($E306="Concrete Barrier",$B306,0),IF($B258=0,0,IF(FWY_Project!$O71&gt;FWY_Project!$J71,IF(AND($E306="Concrete Barrier",FWY_Project!$M71="Yes"),FWY_Ref!$B306-$B258,0),0))))</f>
        <v>0</v>
      </c>
    </row>
    <row r="307" spans="1:12" x14ac:dyDescent="0.25">
      <c r="A307">
        <v>4</v>
      </c>
      <c r="B307">
        <f>IF(AND($A307&lt;=FWY_Project!$L$33,FWY_Project!$C$106=1),IF(FWY_Project!M72="Yes",FWY_Project!O72,FWY_Project!J72),0)</f>
        <v>0</v>
      </c>
      <c r="C307">
        <f>IF($A307&lt;=FWY_Project!$L$33,FWY_Project!L72,0)</f>
        <v>0</v>
      </c>
      <c r="D307">
        <f t="shared" si="11"/>
        <v>0</v>
      </c>
      <c r="E307">
        <f>FWY_Project!M42</f>
        <v>0</v>
      </c>
      <c r="F307" t="str">
        <f>IF(G259="Y","Already Removed",IF(FWY_Project!P72="Yes","Y","N"))</f>
        <v>N</v>
      </c>
      <c r="G307">
        <f>IF($J$12=FALSE,0,IF($F307="Already Removed",0,IF(AND($E307="Guardrail",$F307="Y"),$B307,IF(AND($E307="Guardrail",FWY_Ref!$B259&lt;&gt;0,FWY_Project!$M72="Yes",FWY_Project!$O72&lt;FWY_Project!$J72),FWY_Project!$O72-FWY_Project!$J72,0))))</f>
        <v>0</v>
      </c>
      <c r="H307">
        <f>IF($J$12=FALSE,0,IF($F307="Already Removed",0,IF(AND($E307="Cable Barrier",$F307="Y"),$B307,IF(AND($E307="Cable Barrier",FWY_Ref!$B259&lt;&gt;0,FWY_Project!$M72="Yes",FWY_Project!$O72&lt;FWY_Project!$J72),FWY_Project!$O72-FWY_Project!$J72,0))))</f>
        <v>0</v>
      </c>
      <c r="I307">
        <f>IF($J$12=FALSE,0,IF($F307="Already Removed",0,IF(AND($E307="Concrete Barrier",$F307="Y"),$B307,IF(AND($E307="Concrete Barrier",FWY_Ref!$B259&lt;&gt;0,FWY_Project!$M72="Yes",FWY_Project!$O72&lt;FWY_Project!$J72),FWY_Project!$O72-FWY_Project!$J72,0))))</f>
        <v>0</v>
      </c>
      <c r="J307">
        <f>IF($J$12=FALSE,IF($F307="Already Removed",$H259,0),IF($F307="Already Removed",IF($E307="Guardrail",$B307,0),IF($B259=0,0,IF(FWY_Project!$O72&gt;FWY_Project!$J72,IF(AND($E307="Guardrail",FWY_Project!$M72="Yes"),FWY_Ref!$B307-$B259,0),0))))</f>
        <v>0</v>
      </c>
      <c r="K307">
        <f>IF($J$12=FALSE,IF($F307="Already Removed",$I259,0),IF($F307="Already Removed",IF($E307="Cable Barrier",$B307,0),IF($B259=0,0,IF(FWY_Project!$O72&gt;FWY_Project!$J72,IF(AND($E307="Cable Barrier",FWY_Project!$M72="Yes"),FWY_Ref!$B307-$B259,0),0))))</f>
        <v>0</v>
      </c>
      <c r="L307">
        <f>IF($J$12=FALSE,IF($F307="Already Removed",$J259,0),IF($F307="Already Removed",IF($E307="Concrete Barrier",$B307,0),IF($B259=0,0,IF(FWY_Project!$O72&gt;FWY_Project!$J72,IF(AND($E307="Concrete Barrier",FWY_Project!$M72="Yes"),FWY_Ref!$B307-$B259,0),0))))</f>
        <v>0</v>
      </c>
    </row>
    <row r="308" spans="1:12" x14ac:dyDescent="0.25">
      <c r="A308">
        <v>5</v>
      </c>
      <c r="B308">
        <f>IF(AND($A308&lt;=FWY_Project!$L$33,FWY_Project!$C$106=1),IF(FWY_Project!M73="Yes",FWY_Project!O73,FWY_Project!J73),0)</f>
        <v>0</v>
      </c>
      <c r="C308">
        <f>IF($A308&lt;=FWY_Project!$L$33,FWY_Project!L73,0)</f>
        <v>0</v>
      </c>
      <c r="D308">
        <f t="shared" si="11"/>
        <v>0</v>
      </c>
      <c r="E308">
        <f>FWY_Project!M43</f>
        <v>0</v>
      </c>
      <c r="F308" t="str">
        <f>IF(G260="Y","Already Removed",IF(FWY_Project!P73="Yes","Y","N"))</f>
        <v>N</v>
      </c>
      <c r="G308">
        <f>IF($J$12=FALSE,0,IF($F308="Already Removed",0,IF(AND($E308="Guardrail",$F308="Y"),$B308,IF(AND($E308="Guardrail",FWY_Ref!$B260&lt;&gt;0,FWY_Project!$M73="Yes",FWY_Project!$O73&lt;FWY_Project!$J73),FWY_Project!$O73-FWY_Project!$J73,0))))</f>
        <v>0</v>
      </c>
      <c r="H308">
        <f>IF($J$12=FALSE,0,IF($F308="Already Removed",0,IF(AND($E308="Cable Barrier",$F308="Y"),$B308,IF(AND($E308="Cable Barrier",FWY_Ref!$B260&lt;&gt;0,FWY_Project!$M73="Yes",FWY_Project!$O73&lt;FWY_Project!$J73),FWY_Project!$O73-FWY_Project!$J73,0))))</f>
        <v>0</v>
      </c>
      <c r="I308">
        <f>IF($J$12=FALSE,0,IF($F308="Already Removed",0,IF(AND($E308="Concrete Barrier",$F308="Y"),$B308,IF(AND($E308="Concrete Barrier",FWY_Ref!$B260&lt;&gt;0,FWY_Project!$M73="Yes",FWY_Project!$O73&lt;FWY_Project!$J73),FWY_Project!$O73-FWY_Project!$J73,0))))</f>
        <v>0</v>
      </c>
      <c r="J308">
        <f>IF($J$12=FALSE,IF($F308="Already Removed",$H260,0),IF($F308="Already Removed",IF($E308="Guardrail",$B308,0),IF($B260=0,0,IF(FWY_Project!$O73&gt;FWY_Project!$J73,IF(AND($E308="Guardrail",FWY_Project!$M73="Yes"),FWY_Ref!$B308-$B260,0),0))))</f>
        <v>0</v>
      </c>
      <c r="K308">
        <f>IF($J$12=FALSE,IF($F308="Already Removed",$I260,0),IF($F308="Already Removed",IF($E308="Cable Barrier",$B308,0),IF($B260=0,0,IF(FWY_Project!$O73&gt;FWY_Project!$J73,IF(AND($E308="Cable Barrier",FWY_Project!$M73="Yes"),FWY_Ref!$B308-$B260,0),0))))</f>
        <v>0</v>
      </c>
      <c r="L308">
        <f>IF($J$12=FALSE,IF($F308="Already Removed",$J260,0),IF($F308="Already Removed",IF($E308="Concrete Barrier",$B308,0),IF($B260=0,0,IF(FWY_Project!$O73&gt;FWY_Project!$J73,IF(AND($E308="Concrete Barrier",FWY_Project!$M73="Yes"),FWY_Ref!$B308-$B260,0),0))))</f>
        <v>0</v>
      </c>
    </row>
    <row r="309" spans="1:12" x14ac:dyDescent="0.25">
      <c r="A309">
        <v>6</v>
      </c>
      <c r="B309">
        <f>IF(AND($A309&lt;=FWY_Project!$L$33,FWY_Project!$C$106=1),IF(FWY_Project!M74="Yes",FWY_Project!O74,FWY_Project!J74),0)</f>
        <v>0</v>
      </c>
      <c r="C309">
        <f>IF($A309&lt;=FWY_Project!$L$33,FWY_Project!L74,0)</f>
        <v>0</v>
      </c>
      <c r="D309">
        <f t="shared" si="11"/>
        <v>0</v>
      </c>
      <c r="E309">
        <f>FWY_Project!M44</f>
        <v>0</v>
      </c>
      <c r="F309" t="str">
        <f>IF(G261="Y","Already Removed",IF(FWY_Project!P74="Yes","Y","N"))</f>
        <v>N</v>
      </c>
      <c r="G309">
        <f>IF($J$12=FALSE,0,IF($F309="Already Removed",0,IF(AND($E309="Guardrail",$F309="Y"),$B309,IF(AND($E309="Guardrail",FWY_Ref!$B261&lt;&gt;0,FWY_Project!$M74="Yes",FWY_Project!$O74&lt;FWY_Project!$J74),FWY_Project!$O74-FWY_Project!$J74,0))))</f>
        <v>0</v>
      </c>
      <c r="H309">
        <f>IF($J$12=FALSE,0,IF($F309="Already Removed",0,IF(AND($E309="Cable Barrier",$F309="Y"),$B309,IF(AND($E309="Cable Barrier",FWY_Ref!$B261&lt;&gt;0,FWY_Project!$M74="Yes",FWY_Project!$O74&lt;FWY_Project!$J74),FWY_Project!$O74-FWY_Project!$J74,0))))</f>
        <v>0</v>
      </c>
      <c r="I309">
        <f>IF($J$12=FALSE,0,IF($F309="Already Removed",0,IF(AND($E309="Concrete Barrier",$F309="Y"),$B309,IF(AND($E309="Concrete Barrier",FWY_Ref!$B261&lt;&gt;0,FWY_Project!$M74="Yes",FWY_Project!$O74&lt;FWY_Project!$J74),FWY_Project!$O74-FWY_Project!$J74,0))))</f>
        <v>0</v>
      </c>
      <c r="J309">
        <f>IF($J$12=FALSE,IF($F309="Already Removed",$H261,0),IF($F309="Already Removed",IF($E309="Guardrail",$B309,0),IF($B261=0,0,IF(FWY_Project!$O74&gt;FWY_Project!$J74,IF(AND($E309="Guardrail",FWY_Project!$M74="Yes"),FWY_Ref!$B309-$B261,0),0))))</f>
        <v>0</v>
      </c>
      <c r="K309">
        <f>IF($J$12=FALSE,IF($F309="Already Removed",$I261,0),IF($F309="Already Removed",IF($E309="Cable Barrier",$B309,0),IF($B261=0,0,IF(FWY_Project!$O74&gt;FWY_Project!$J74,IF(AND($E309="Cable Barrier",FWY_Project!$M74="Yes"),FWY_Ref!$B309-$B261,0),0))))</f>
        <v>0</v>
      </c>
      <c r="L309">
        <f>IF($J$12=FALSE,IF($F309="Already Removed",$J261,0),IF($F309="Already Removed",IF($E309="Concrete Barrier",$B309,0),IF($B261=0,0,IF(FWY_Project!$O74&gt;FWY_Project!$J74,IF(AND($E309="Concrete Barrier",FWY_Project!$M74="Yes"),FWY_Ref!$B309-$B261,0),0))))</f>
        <v>0</v>
      </c>
    </row>
    <row r="310" spans="1:12" x14ac:dyDescent="0.25">
      <c r="A310">
        <v>7</v>
      </c>
      <c r="B310">
        <f>IF(AND($A310&lt;=FWY_Project!$L$33,FWY_Project!$C$106=1),IF(FWY_Project!M75="Yes",FWY_Project!O75,FWY_Project!J75),0)</f>
        <v>0</v>
      </c>
      <c r="C310">
        <f>IF($A310&lt;=FWY_Project!$L$33,FWY_Project!L75,0)</f>
        <v>0</v>
      </c>
      <c r="D310">
        <f t="shared" si="11"/>
        <v>0</v>
      </c>
      <c r="E310">
        <f>FWY_Project!M45</f>
        <v>0</v>
      </c>
      <c r="F310" t="str">
        <f>IF(G262="Y","Already Removed",IF(FWY_Project!P75="Yes","Y","N"))</f>
        <v>N</v>
      </c>
      <c r="G310">
        <f>IF($J$12=FALSE,0,IF($F310="Already Removed",0,IF(AND($E310="Guardrail",$F310="Y"),$B310,IF(AND($E310="Guardrail",FWY_Ref!$B262&lt;&gt;0,FWY_Project!$M75="Yes",FWY_Project!$O75&lt;FWY_Project!$J75),FWY_Project!$O75-FWY_Project!$J75,0))))</f>
        <v>0</v>
      </c>
      <c r="H310">
        <f>IF($J$12=FALSE,0,IF($F310="Already Removed",0,IF(AND($E310="Cable Barrier",$F310="Y"),$B310,IF(AND($E310="Cable Barrier",FWY_Ref!$B262&lt;&gt;0,FWY_Project!$M75="Yes",FWY_Project!$O75&lt;FWY_Project!$J75),FWY_Project!$O75-FWY_Project!$J75,0))))</f>
        <v>0</v>
      </c>
      <c r="I310">
        <f>IF($J$12=FALSE,0,IF($F310="Already Removed",0,IF(AND($E310="Concrete Barrier",$F310="Y"),$B310,IF(AND($E310="Concrete Barrier",FWY_Ref!$B262&lt;&gt;0,FWY_Project!$M75="Yes",FWY_Project!$O75&lt;FWY_Project!$J75),FWY_Project!$O75-FWY_Project!$J75,0))))</f>
        <v>0</v>
      </c>
      <c r="J310">
        <f>IF($J$12=FALSE,IF($F310="Already Removed",$H262,0),IF($F310="Already Removed",IF($E310="Guardrail",$B310,0),IF($B262=0,0,IF(FWY_Project!$O75&gt;FWY_Project!$J75,IF(AND($E310="Guardrail",FWY_Project!$M75="Yes"),FWY_Ref!$B310-$B262,0),0))))</f>
        <v>0</v>
      </c>
      <c r="K310">
        <f>IF($J$12=FALSE,IF($F310="Already Removed",$I262,0),IF($F310="Already Removed",IF($E310="Cable Barrier",$B310,0),IF($B262=0,0,IF(FWY_Project!$O75&gt;FWY_Project!$J75,IF(AND($E310="Cable Barrier",FWY_Project!$M75="Yes"),FWY_Ref!$B310-$B262,0),0))))</f>
        <v>0</v>
      </c>
      <c r="L310">
        <f>IF($J$12=FALSE,IF($F310="Already Removed",$J262,0),IF($F310="Already Removed",IF($E310="Concrete Barrier",$B310,0),IF($B262=0,0,IF(FWY_Project!$O75&gt;FWY_Project!$J75,IF(AND($E310="Concrete Barrier",FWY_Project!$M75="Yes"),FWY_Ref!$B310-$B262,0),0))))</f>
        <v>0</v>
      </c>
    </row>
    <row r="311" spans="1:12" x14ac:dyDescent="0.25">
      <c r="A311">
        <v>8</v>
      </c>
      <c r="B311">
        <f>IF(AND($A311&lt;=FWY_Project!$L$33,FWY_Project!$C$106=1),IF(FWY_Project!M76="Yes",FWY_Project!O76,FWY_Project!J76),0)</f>
        <v>0</v>
      </c>
      <c r="C311">
        <f>IF($A311&lt;=FWY_Project!$L$33,FWY_Project!L76,0)</f>
        <v>0</v>
      </c>
      <c r="D311">
        <f t="shared" si="11"/>
        <v>0</v>
      </c>
      <c r="E311">
        <f>FWY_Project!M46</f>
        <v>0</v>
      </c>
      <c r="F311" t="str">
        <f>IF(G263="Y","Already Removed",IF(FWY_Project!P76="Yes","Y","N"))</f>
        <v>N</v>
      </c>
      <c r="G311">
        <f>IF($J$12=FALSE,0,IF($F311="Already Removed",0,IF(AND($E311="Guardrail",$F311="Y"),$B311,IF(AND($E311="Guardrail",FWY_Ref!$B263&lt;&gt;0,FWY_Project!$M76="Yes",FWY_Project!$O76&lt;FWY_Project!$J76),FWY_Project!$O76-FWY_Project!$J76,0))))</f>
        <v>0</v>
      </c>
      <c r="H311">
        <f>IF($J$12=FALSE,0,IF($F311="Already Removed",0,IF(AND($E311="Cable Barrier",$F311="Y"),$B311,IF(AND($E311="Cable Barrier",FWY_Ref!$B263&lt;&gt;0,FWY_Project!$M76="Yes",FWY_Project!$O76&lt;FWY_Project!$J76),FWY_Project!$O76-FWY_Project!$J76,0))))</f>
        <v>0</v>
      </c>
      <c r="I311">
        <f>IF($J$12=FALSE,0,IF($F311="Already Removed",0,IF(AND($E311="Concrete Barrier",$F311="Y"),$B311,IF(AND($E311="Concrete Barrier",FWY_Ref!$B263&lt;&gt;0,FWY_Project!$M76="Yes",FWY_Project!$O76&lt;FWY_Project!$J76),FWY_Project!$O76-FWY_Project!$J76,0))))</f>
        <v>0</v>
      </c>
      <c r="J311">
        <f>IF($J$12=FALSE,IF($F311="Already Removed",$H263,0),IF($F311="Already Removed",IF($E311="Guardrail",$B311,0),IF($B263=0,0,IF(FWY_Project!$O76&gt;FWY_Project!$J76,IF(AND($E311="Guardrail",FWY_Project!$M76="Yes"),FWY_Ref!$B311-$B263,0),0))))</f>
        <v>0</v>
      </c>
      <c r="K311">
        <f>IF($J$12=FALSE,IF($F311="Already Removed",$I263,0),IF($F311="Already Removed",IF($E311="Cable Barrier",$B311,0),IF($B263=0,0,IF(FWY_Project!$O76&gt;FWY_Project!$J76,IF(AND($E311="Cable Barrier",FWY_Project!$M76="Yes"),FWY_Ref!$B311-$B263,0),0))))</f>
        <v>0</v>
      </c>
      <c r="L311">
        <f>IF($J$12=FALSE,IF($F311="Already Removed",$J263,0),IF($F311="Already Removed",IF($E311="Concrete Barrier",$B311,0),IF($B263=0,0,IF(FWY_Project!$O76&gt;FWY_Project!$J76,IF(AND($E311="Concrete Barrier",FWY_Project!$M76="Yes"),FWY_Ref!$B311-$B263,0),0))))</f>
        <v>0</v>
      </c>
    </row>
    <row r="312" spans="1:12" x14ac:dyDescent="0.25">
      <c r="A312">
        <v>9</v>
      </c>
      <c r="B312">
        <f>IF(AND($A312&lt;=FWY_Project!$L$33,FWY_Project!$C$106=1),IF(FWY_Project!M77="Yes",FWY_Project!O77,FWY_Project!J77),0)</f>
        <v>0</v>
      </c>
      <c r="C312">
        <f>IF($A312&lt;=FWY_Project!$L$33,FWY_Project!L77,0)</f>
        <v>0</v>
      </c>
      <c r="D312">
        <f t="shared" si="11"/>
        <v>0</v>
      </c>
      <c r="E312">
        <f>FWY_Project!M47</f>
        <v>0</v>
      </c>
      <c r="F312" t="str">
        <f>IF(G264="Y","Already Removed",IF(FWY_Project!P77="Yes","Y","N"))</f>
        <v>N</v>
      </c>
      <c r="G312">
        <f>IF($J$12=FALSE,0,IF($F312="Already Removed",0,IF(AND($E312="Guardrail",$F312="Y"),$B312,IF(AND($E312="Guardrail",FWY_Ref!$B264&lt;&gt;0,FWY_Project!$M77="Yes",FWY_Project!$O77&lt;FWY_Project!$J77),FWY_Project!$O77-FWY_Project!$J77,0))))</f>
        <v>0</v>
      </c>
      <c r="H312">
        <f>IF($J$12=FALSE,0,IF($F312="Already Removed",0,IF(AND($E312="Cable Barrier",$F312="Y"),$B312,IF(AND($E312="Cable Barrier",FWY_Ref!$B264&lt;&gt;0,FWY_Project!$M77="Yes",FWY_Project!$O77&lt;FWY_Project!$J77),FWY_Project!$O77-FWY_Project!$J77,0))))</f>
        <v>0</v>
      </c>
      <c r="I312">
        <f>IF($J$12=FALSE,0,IF($F312="Already Removed",0,IF(AND($E312="Concrete Barrier",$F312="Y"),$B312,IF(AND($E312="Concrete Barrier",FWY_Ref!$B264&lt;&gt;0,FWY_Project!$M77="Yes",FWY_Project!$O77&lt;FWY_Project!$J77),FWY_Project!$O77-FWY_Project!$J77,0))))</f>
        <v>0</v>
      </c>
      <c r="J312">
        <f>IF($J$12=FALSE,IF($F312="Already Removed",$H264,0),IF($F312="Already Removed",IF($E312="Guardrail",$B312,0),IF($B264=0,0,IF(FWY_Project!$O77&gt;FWY_Project!$J77,IF(AND($E312="Guardrail",FWY_Project!$M77="Yes"),FWY_Ref!$B312-$B264,0),0))))</f>
        <v>0</v>
      </c>
      <c r="K312">
        <f>IF($J$12=FALSE,IF($F312="Already Removed",$I264,0),IF($F312="Already Removed",IF($E312="Cable Barrier",$B312,0),IF($B264=0,0,IF(FWY_Project!$O77&gt;FWY_Project!$J77,IF(AND($E312="Cable Barrier",FWY_Project!$M77="Yes"),FWY_Ref!$B312-$B264,0),0))))</f>
        <v>0</v>
      </c>
      <c r="L312">
        <f>IF($J$12=FALSE,IF($F312="Already Removed",$J264,0),IF($F312="Already Removed",IF($E312="Concrete Barrier",$B312,0),IF($B264=0,0,IF(FWY_Project!$O77&gt;FWY_Project!$J77,IF(AND($E312="Concrete Barrier",FWY_Project!$M77="Yes"),FWY_Ref!$B312-$B264,0),0))))</f>
        <v>0</v>
      </c>
    </row>
    <row r="313" spans="1:12" x14ac:dyDescent="0.25">
      <c r="A313">
        <v>10</v>
      </c>
      <c r="B313">
        <f>IF(AND($A313&lt;=FWY_Project!$L$33,FWY_Project!$C$106=1),IF(FWY_Project!M78="Yes",FWY_Project!O78,FWY_Project!J78),0)</f>
        <v>0</v>
      </c>
      <c r="C313">
        <f>IF($A313&lt;=FWY_Project!$L$33,FWY_Project!L78,0)</f>
        <v>0</v>
      </c>
      <c r="D313">
        <f t="shared" si="11"/>
        <v>0</v>
      </c>
      <c r="E313">
        <f>FWY_Project!M48</f>
        <v>0</v>
      </c>
      <c r="F313" t="str">
        <f>IF(G265="Y","Already Removed",IF(FWY_Project!P78="Yes","Y","N"))</f>
        <v>N</v>
      </c>
      <c r="G313">
        <f>IF($J$12=FALSE,0,IF($F313="Already Removed",0,IF(AND($E313="Guardrail",$F313="Y"),$B313,IF(AND($E313="Guardrail",FWY_Ref!$B265&lt;&gt;0,FWY_Project!$M78="Yes",FWY_Project!$O78&lt;FWY_Project!$J78),FWY_Project!$O78-FWY_Project!$J78,0))))</f>
        <v>0</v>
      </c>
      <c r="H313">
        <f>IF($J$12=FALSE,0,IF($F313="Already Removed",0,IF(AND($E313="Cable Barrier",$F313="Y"),$B313,IF(AND($E313="Cable Barrier",FWY_Ref!$B265&lt;&gt;0,FWY_Project!$M78="Yes",FWY_Project!$O78&lt;FWY_Project!$J78),FWY_Project!$O78-FWY_Project!$J78,0))))</f>
        <v>0</v>
      </c>
      <c r="I313">
        <f>IF($J$12=FALSE,0,IF($F313="Already Removed",0,IF(AND($E313="Concrete Barrier",$F313="Y"),$B313,IF(AND($E313="Concrete Barrier",FWY_Ref!$B265&lt;&gt;0,FWY_Project!$M78="Yes",FWY_Project!$O78&lt;FWY_Project!$J78),FWY_Project!$O78-FWY_Project!$J78,0))))</f>
        <v>0</v>
      </c>
      <c r="J313">
        <f>IF($J$12=FALSE,IF($F313="Already Removed",$H265,0),IF($F313="Already Removed",IF($E313="Guardrail",$B313,0),IF($B265=0,0,IF(FWY_Project!$O78&gt;FWY_Project!$J78,IF(AND($E313="Guardrail",FWY_Project!$M78="Yes"),FWY_Ref!$B313-$B265,0),0))))</f>
        <v>0</v>
      </c>
      <c r="K313">
        <f>IF($J$12=FALSE,IF($F313="Already Removed",$I265,0),IF($F313="Already Removed",IF($E313="Cable Barrier",$B313,0),IF($B265=0,0,IF(FWY_Project!$O78&gt;FWY_Project!$J78,IF(AND($E313="Cable Barrier",FWY_Project!$M78="Yes"),FWY_Ref!$B313-$B265,0),0))))</f>
        <v>0</v>
      </c>
      <c r="L313">
        <f>IF($J$12=FALSE,IF($F313="Already Removed",$J265,0),IF($F313="Already Removed",IF($E313="Concrete Barrier",$B313,0),IF($B265=0,0,IF(FWY_Project!$O78&gt;FWY_Project!$J78,IF(AND($E313="Concrete Barrier",FWY_Project!$M78="Yes"),FWY_Ref!$B313-$B265,0),0))))</f>
        <v>0</v>
      </c>
    </row>
    <row r="314" spans="1:12" x14ac:dyDescent="0.25">
      <c r="A314">
        <v>1</v>
      </c>
      <c r="B314">
        <f>IF(AND($A314&lt;=FWY_Project!$L$64,$J$12=TRUE),FWY_Project!J82,0)</f>
        <v>0</v>
      </c>
      <c r="C314">
        <f>IF($A314&lt;=FWY_Project!$L$64,FWY_Project!L82,0)</f>
        <v>0</v>
      </c>
      <c r="D314">
        <f t="shared" si="11"/>
        <v>0</v>
      </c>
      <c r="E314" t="str">
        <f>FWY_Project!M82</f>
        <v>Guardrail</v>
      </c>
      <c r="J314">
        <f>IF($J$12=FALSE,0,IF($E314="Guardrail",$B314,0))</f>
        <v>0</v>
      </c>
      <c r="K314">
        <f>IF($J$12=FALSE,0,IF($E314="Cable Barrier",$B314,0))</f>
        <v>0</v>
      </c>
      <c r="L314">
        <f>IF($J$12=FALSE,0,IF($E314="Concrete Barrier",$B314,0))</f>
        <v>0</v>
      </c>
    </row>
    <row r="315" spans="1:12" x14ac:dyDescent="0.25">
      <c r="A315">
        <v>2</v>
      </c>
      <c r="B315">
        <f>IF(AND($A315&lt;=FWY_Project!$L$64,$J$12=TRUE),FWY_Project!J83,0)</f>
        <v>0</v>
      </c>
      <c r="C315">
        <f>IF($A315&lt;=FWY_Project!$L$64,FWY_Project!L83,0)</f>
        <v>0</v>
      </c>
      <c r="D315">
        <f t="shared" si="11"/>
        <v>0</v>
      </c>
      <c r="E315">
        <f>FWY_Project!M83</f>
        <v>0</v>
      </c>
      <c r="J315">
        <f t="shared" ref="J315:J323" si="12">IF($J$12=FALSE,0,IF($E315="Guardrail",$B315,0))</f>
        <v>0</v>
      </c>
      <c r="K315">
        <f t="shared" ref="K315:K323" si="13">IF($J$12=FALSE,0,IF($E315="Cable Barrier",$B315,0))</f>
        <v>0</v>
      </c>
      <c r="L315">
        <f t="shared" ref="L315:L323" si="14">IF($J$12=FALSE,0,IF($E315="Concrete Barrier",$B315,0))</f>
        <v>0</v>
      </c>
    </row>
    <row r="316" spans="1:12" x14ac:dyDescent="0.25">
      <c r="A316">
        <v>3</v>
      </c>
      <c r="B316">
        <f>IF(AND($A316&lt;=FWY_Project!$L$64,$J$12=TRUE),FWY_Project!J84,0)</f>
        <v>0</v>
      </c>
      <c r="C316">
        <f>IF($A316&lt;=FWY_Project!$L$64,FWY_Project!L84,0)</f>
        <v>0</v>
      </c>
      <c r="D316">
        <f t="shared" si="11"/>
        <v>0</v>
      </c>
      <c r="E316">
        <f>FWY_Project!M84</f>
        <v>0</v>
      </c>
      <c r="J316">
        <f t="shared" si="12"/>
        <v>0</v>
      </c>
      <c r="K316">
        <f t="shared" si="13"/>
        <v>0</v>
      </c>
      <c r="L316">
        <f t="shared" si="14"/>
        <v>0</v>
      </c>
    </row>
    <row r="317" spans="1:12" x14ac:dyDescent="0.25">
      <c r="A317">
        <v>4</v>
      </c>
      <c r="B317">
        <f>IF(AND($A317&lt;=FWY_Project!$L$64,$J$12=TRUE),FWY_Project!J85,0)</f>
        <v>0</v>
      </c>
      <c r="C317">
        <f>IF($A317&lt;=FWY_Project!$L$64,FWY_Project!L85,0)</f>
        <v>0</v>
      </c>
      <c r="D317">
        <f t="shared" si="11"/>
        <v>0</v>
      </c>
      <c r="E317">
        <f>FWY_Project!M85</f>
        <v>0</v>
      </c>
      <c r="J317">
        <f t="shared" si="12"/>
        <v>0</v>
      </c>
      <c r="K317">
        <f t="shared" si="13"/>
        <v>0</v>
      </c>
      <c r="L317">
        <f t="shared" si="14"/>
        <v>0</v>
      </c>
    </row>
    <row r="318" spans="1:12" x14ac:dyDescent="0.25">
      <c r="A318">
        <v>5</v>
      </c>
      <c r="B318">
        <f>IF(AND($A318&lt;=FWY_Project!$L$64,$J$12=TRUE),FWY_Project!J86,0)</f>
        <v>0</v>
      </c>
      <c r="C318">
        <f>IF($A318&lt;=FWY_Project!$L$64,FWY_Project!L86,0)</f>
        <v>0</v>
      </c>
      <c r="D318">
        <f t="shared" si="11"/>
        <v>0</v>
      </c>
      <c r="E318">
        <f>FWY_Project!M86</f>
        <v>0</v>
      </c>
      <c r="J318">
        <f t="shared" si="12"/>
        <v>0</v>
      </c>
      <c r="K318">
        <f t="shared" si="13"/>
        <v>0</v>
      </c>
      <c r="L318">
        <f t="shared" si="14"/>
        <v>0</v>
      </c>
    </row>
    <row r="319" spans="1:12" x14ac:dyDescent="0.25">
      <c r="A319">
        <v>6</v>
      </c>
      <c r="B319">
        <f>IF(AND($A319&lt;=FWY_Project!$L$64,$J$12=TRUE),FWY_Project!J87,0)</f>
        <v>0</v>
      </c>
      <c r="C319">
        <f>IF($A319&lt;=FWY_Project!$L$64,FWY_Project!L87,0)</f>
        <v>0</v>
      </c>
      <c r="D319">
        <f t="shared" si="11"/>
        <v>0</v>
      </c>
      <c r="E319">
        <f>FWY_Project!M87</f>
        <v>0</v>
      </c>
      <c r="J319">
        <f t="shared" si="12"/>
        <v>0</v>
      </c>
      <c r="K319">
        <f t="shared" si="13"/>
        <v>0</v>
      </c>
      <c r="L319">
        <f t="shared" si="14"/>
        <v>0</v>
      </c>
    </row>
    <row r="320" spans="1:12" x14ac:dyDescent="0.25">
      <c r="A320">
        <v>7</v>
      </c>
      <c r="B320">
        <f>IF(AND($A320&lt;=FWY_Project!$L$64,$J$12=TRUE),FWY_Project!J88,0)</f>
        <v>0</v>
      </c>
      <c r="C320">
        <f>IF($A320&lt;=FWY_Project!$L$64,FWY_Project!L88,0)</f>
        <v>0</v>
      </c>
      <c r="D320">
        <f t="shared" si="11"/>
        <v>0</v>
      </c>
      <c r="E320">
        <f>FWY_Project!M88</f>
        <v>0</v>
      </c>
      <c r="J320">
        <f t="shared" si="12"/>
        <v>0</v>
      </c>
      <c r="K320">
        <f t="shared" si="13"/>
        <v>0</v>
      </c>
      <c r="L320">
        <f t="shared" si="14"/>
        <v>0</v>
      </c>
    </row>
    <row r="321" spans="1:12" x14ac:dyDescent="0.25">
      <c r="A321">
        <v>8</v>
      </c>
      <c r="B321">
        <f>IF(AND($A321&lt;=FWY_Project!$L$64,$J$12=TRUE),FWY_Project!J89,0)</f>
        <v>0</v>
      </c>
      <c r="C321">
        <f>IF($A321&lt;=FWY_Project!$L$64,FWY_Project!L89,0)</f>
        <v>0</v>
      </c>
      <c r="D321">
        <f t="shared" si="11"/>
        <v>0</v>
      </c>
      <c r="E321">
        <f>FWY_Project!M89</f>
        <v>0</v>
      </c>
      <c r="J321">
        <f t="shared" si="12"/>
        <v>0</v>
      </c>
      <c r="K321">
        <f t="shared" si="13"/>
        <v>0</v>
      </c>
      <c r="L321">
        <f t="shared" si="14"/>
        <v>0</v>
      </c>
    </row>
    <row r="322" spans="1:12" x14ac:dyDescent="0.25">
      <c r="A322">
        <v>9</v>
      </c>
      <c r="B322">
        <f>IF(AND($A322&lt;=FWY_Project!$L$64,$J$12=TRUE),FWY_Project!J90,0)</f>
        <v>0</v>
      </c>
      <c r="C322">
        <f>IF($A322&lt;=FWY_Project!$L$64,FWY_Project!L90,0)</f>
        <v>0</v>
      </c>
      <c r="D322">
        <f t="shared" si="11"/>
        <v>0</v>
      </c>
      <c r="E322">
        <f>FWY_Project!M90</f>
        <v>0</v>
      </c>
      <c r="J322">
        <f t="shared" si="12"/>
        <v>0</v>
      </c>
      <c r="K322">
        <f t="shared" si="13"/>
        <v>0</v>
      </c>
      <c r="L322">
        <f t="shared" si="14"/>
        <v>0</v>
      </c>
    </row>
    <row r="323" spans="1:12" x14ac:dyDescent="0.25">
      <c r="A323">
        <v>10</v>
      </c>
      <c r="B323">
        <f>IF(AND($A323&lt;=FWY_Project!$L$64,$J$12=TRUE),FWY_Project!J91,0)</f>
        <v>0</v>
      </c>
      <c r="C323">
        <f>IF($A323&lt;=FWY_Project!$L$64,FWY_Project!L91,0)</f>
        <v>0</v>
      </c>
      <c r="D323">
        <f t="shared" si="11"/>
        <v>0</v>
      </c>
      <c r="E323">
        <f>FWY_Project!M91</f>
        <v>0</v>
      </c>
      <c r="J323">
        <f t="shared" si="12"/>
        <v>0</v>
      </c>
      <c r="K323">
        <f t="shared" si="13"/>
        <v>0</v>
      </c>
      <c r="L323">
        <f t="shared" si="14"/>
        <v>0</v>
      </c>
    </row>
    <row r="324" spans="1:12" x14ac:dyDescent="0.25">
      <c r="B324" t="s">
        <v>646</v>
      </c>
      <c r="C324" t="s">
        <v>645</v>
      </c>
    </row>
    <row r="325" spans="1:12" x14ac:dyDescent="0.25">
      <c r="A325">
        <v>1</v>
      </c>
      <c r="B325" t="e">
        <f>SUM(B304:B323)/SUM(D304:D323)</f>
        <v>#DIV/0!</v>
      </c>
      <c r="C325">
        <f>SUM(B304:B323)/(2*C20)</f>
        <v>0</v>
      </c>
    </row>
    <row r="326" spans="1:12" x14ac:dyDescent="0.25">
      <c r="A326">
        <v>2</v>
      </c>
      <c r="B326">
        <f>IF(FWY_Project!C106=1,SUM(B256:B265)/SUM(E256:E265),0)</f>
        <v>0</v>
      </c>
      <c r="C326">
        <f>IF(FWY_Project!C106=1,SUM(B256:B265)/(2*C20),0)</f>
        <v>0</v>
      </c>
      <c r="D326" t="s">
        <v>644</v>
      </c>
    </row>
    <row r="329" spans="1:12" x14ac:dyDescent="0.25">
      <c r="A329" t="s">
        <v>643</v>
      </c>
      <c r="B329" t="s">
        <v>642</v>
      </c>
      <c r="C329" t="s">
        <v>641</v>
      </c>
      <c r="D329" t="s">
        <v>640</v>
      </c>
      <c r="E329" t="s">
        <v>639</v>
      </c>
    </row>
    <row r="330" spans="1:12" x14ac:dyDescent="0.25">
      <c r="A330">
        <v>1</v>
      </c>
      <c r="B330">
        <f>IF($A330&lt;=FWY_Project!$M$15,FWY_Project!J21,0)</f>
        <v>0.2</v>
      </c>
      <c r="C330">
        <f>IF($A330&lt;=FWY_Project!$M$15,FWY_Project!L21,0)</f>
        <v>2200</v>
      </c>
      <c r="D330">
        <f>B330/(2*$C$20)</f>
        <v>3.3333333333333333E-2</v>
      </c>
      <c r="E330">
        <f t="shared" ref="E330:E339" si="15">IF(C330=0,0,(5730/C330)^2*D330)</f>
        <v>0.22612190082644629</v>
      </c>
    </row>
    <row r="331" spans="1:12" x14ac:dyDescent="0.25">
      <c r="A331">
        <v>2</v>
      </c>
      <c r="B331">
        <f>IF($A331&lt;=FWY_Project!$M$15,FWY_Project!J22,0)</f>
        <v>0.2</v>
      </c>
      <c r="C331">
        <f>IF($A331&lt;=FWY_Project!$M$15,FWY_Project!L22,0)</f>
        <v>2250</v>
      </c>
      <c r="D331">
        <f t="shared" ref="D331:D339" si="16">B331/(2*$C$20)</f>
        <v>3.3333333333333333E-2</v>
      </c>
      <c r="E331">
        <f t="shared" si="15"/>
        <v>0.21618370370370374</v>
      </c>
    </row>
    <row r="332" spans="1:12" x14ac:dyDescent="0.25">
      <c r="A332">
        <v>3</v>
      </c>
      <c r="B332">
        <f>IF($A332&lt;=FWY_Project!$M$15,FWY_Project!J23,0)</f>
        <v>0.15</v>
      </c>
      <c r="C332">
        <f>IF($A332&lt;=FWY_Project!$M$15,FWY_Project!L23,0)</f>
        <v>3000</v>
      </c>
      <c r="D332">
        <f t="shared" si="16"/>
        <v>2.4999999999999998E-2</v>
      </c>
      <c r="E332">
        <f t="shared" si="15"/>
        <v>9.1202499999999992E-2</v>
      </c>
    </row>
    <row r="333" spans="1:12" x14ac:dyDescent="0.25">
      <c r="A333">
        <v>4</v>
      </c>
      <c r="B333">
        <f>IF($A333&lt;=FWY_Project!$M$15,FWY_Project!J24,0)</f>
        <v>0.15</v>
      </c>
      <c r="C333">
        <f>IF($A333&lt;=FWY_Project!$M$15,FWY_Project!L24,0)</f>
        <v>3050</v>
      </c>
      <c r="D333">
        <f t="shared" si="16"/>
        <v>2.4999999999999998E-2</v>
      </c>
      <c r="E333">
        <f t="shared" si="15"/>
        <v>8.8236764310669166E-2</v>
      </c>
    </row>
    <row r="334" spans="1:12" x14ac:dyDescent="0.25">
      <c r="A334">
        <v>5</v>
      </c>
      <c r="B334">
        <f>IF($A334&lt;=FWY_Project!$M$15,FWY_Project!J25,0)</f>
        <v>0</v>
      </c>
      <c r="C334">
        <f>IF($A334&lt;=FWY_Project!$M$15,FWY_Project!L25,0)</f>
        <v>0</v>
      </c>
      <c r="D334">
        <f t="shared" si="16"/>
        <v>0</v>
      </c>
      <c r="E334">
        <f t="shared" si="15"/>
        <v>0</v>
      </c>
    </row>
    <row r="335" spans="1:12" x14ac:dyDescent="0.25">
      <c r="A335">
        <v>6</v>
      </c>
      <c r="B335">
        <f>IF($A335&lt;=FWY_Project!$M$15,FWY_Project!J26,0)</f>
        <v>0</v>
      </c>
      <c r="C335">
        <f>IF($A335&lt;=FWY_Project!$M$15,FWY_Project!L26,0)</f>
        <v>0</v>
      </c>
      <c r="D335">
        <f t="shared" si="16"/>
        <v>0</v>
      </c>
      <c r="E335">
        <f t="shared" si="15"/>
        <v>0</v>
      </c>
    </row>
    <row r="336" spans="1:12" x14ac:dyDescent="0.25">
      <c r="A336">
        <v>7</v>
      </c>
      <c r="B336">
        <f>IF($A336&lt;=FWY_Project!$M$15,FWY_Project!J27,0)</f>
        <v>0</v>
      </c>
      <c r="C336">
        <f>IF($A336&lt;=FWY_Project!$M$15,FWY_Project!L27,0)</f>
        <v>0</v>
      </c>
      <c r="D336">
        <f t="shared" si="16"/>
        <v>0</v>
      </c>
      <c r="E336">
        <f t="shared" si="15"/>
        <v>0</v>
      </c>
    </row>
    <row r="337" spans="1:5" x14ac:dyDescent="0.25">
      <c r="A337">
        <v>8</v>
      </c>
      <c r="B337">
        <f>IF($A337&lt;=FWY_Project!$M$15,FWY_Project!J28,0)</f>
        <v>0</v>
      </c>
      <c r="C337">
        <f>IF($A337&lt;=FWY_Project!$M$15,FWY_Project!L28,0)</f>
        <v>0</v>
      </c>
      <c r="D337">
        <f t="shared" si="16"/>
        <v>0</v>
      </c>
      <c r="E337">
        <f t="shared" si="15"/>
        <v>0</v>
      </c>
    </row>
    <row r="338" spans="1:5" x14ac:dyDescent="0.25">
      <c r="A338">
        <v>9</v>
      </c>
      <c r="B338">
        <f>IF($A338&lt;=FWY_Project!$M$15,FWY_Project!J29,0)</f>
        <v>0</v>
      </c>
      <c r="C338">
        <f>IF($A338&lt;=FWY_Project!$M$15,FWY_Project!L29,0)</f>
        <v>0</v>
      </c>
      <c r="D338">
        <f t="shared" si="16"/>
        <v>0</v>
      </c>
      <c r="E338">
        <f t="shared" si="15"/>
        <v>0</v>
      </c>
    </row>
    <row r="339" spans="1:5" x14ac:dyDescent="0.25">
      <c r="A339">
        <v>10</v>
      </c>
      <c r="B339">
        <f>IF($A339&lt;=FWY_Project!$M$15,FWY_Project!J30,0)</f>
        <v>0</v>
      </c>
      <c r="C339">
        <f>IF($A339&lt;=FWY_Project!$M$15,FWY_Project!L30,0)</f>
        <v>0</v>
      </c>
      <c r="D339">
        <f t="shared" si="16"/>
        <v>0</v>
      </c>
      <c r="E339">
        <f t="shared" si="15"/>
        <v>0</v>
      </c>
    </row>
    <row r="341" spans="1:5" x14ac:dyDescent="0.25">
      <c r="A341" t="s">
        <v>718</v>
      </c>
      <c r="C341">
        <f>FWY_Project!G14</f>
        <v>3250</v>
      </c>
      <c r="D341" s="501">
        <f>FWY_Project!G13</f>
        <v>0.15</v>
      </c>
      <c r="E341">
        <f>(5730/C341)^2*D341</f>
        <v>0.46626603550295853</v>
      </c>
    </row>
  </sheetData>
  <mergeCells count="6">
    <mergeCell ref="G302:I302"/>
    <mergeCell ref="J302:L302"/>
    <mergeCell ref="H236:J236"/>
    <mergeCell ref="H254:J254"/>
    <mergeCell ref="G275:I275"/>
    <mergeCell ref="J275:L27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BH17"/>
  <sheetViews>
    <sheetView workbookViewId="0">
      <selection activeCell="A77" sqref="A77"/>
    </sheetView>
  </sheetViews>
  <sheetFormatPr defaultRowHeight="15" x14ac:dyDescent="0.25"/>
  <sheetData>
    <row r="1" spans="2:60" x14ac:dyDescent="0.25">
      <c r="B1" t="s">
        <v>68</v>
      </c>
      <c r="C1" t="s">
        <v>281</v>
      </c>
      <c r="E1" t="s">
        <v>68</v>
      </c>
      <c r="F1" t="s">
        <v>282</v>
      </c>
      <c r="H1" t="s">
        <v>69</v>
      </c>
      <c r="I1" t="s">
        <v>281</v>
      </c>
      <c r="K1" t="s">
        <v>69</v>
      </c>
      <c r="L1" t="s">
        <v>282</v>
      </c>
      <c r="N1" t="s">
        <v>80</v>
      </c>
      <c r="O1" t="s">
        <v>281</v>
      </c>
      <c r="Q1" t="s">
        <v>80</v>
      </c>
      <c r="R1" t="s">
        <v>282</v>
      </c>
      <c r="T1" t="s">
        <v>161</v>
      </c>
      <c r="U1" t="s">
        <v>281</v>
      </c>
      <c r="W1" t="s">
        <v>161</v>
      </c>
      <c r="X1" t="s">
        <v>282</v>
      </c>
      <c r="Z1" t="s">
        <v>238</v>
      </c>
      <c r="AA1" t="s">
        <v>281</v>
      </c>
      <c r="AC1" t="s">
        <v>238</v>
      </c>
      <c r="AD1" t="s">
        <v>282</v>
      </c>
      <c r="AF1" t="s">
        <v>239</v>
      </c>
      <c r="AG1" t="s">
        <v>281</v>
      </c>
      <c r="AI1" t="s">
        <v>239</v>
      </c>
      <c r="AJ1" t="s">
        <v>282</v>
      </c>
      <c r="AL1" t="s">
        <v>240</v>
      </c>
      <c r="AM1" t="s">
        <v>281</v>
      </c>
      <c r="AO1" t="s">
        <v>240</v>
      </c>
      <c r="AP1" t="s">
        <v>282</v>
      </c>
      <c r="AR1" t="s">
        <v>241</v>
      </c>
      <c r="AS1" t="s">
        <v>281</v>
      </c>
      <c r="AU1" t="s">
        <v>241</v>
      </c>
      <c r="AV1" t="s">
        <v>282</v>
      </c>
      <c r="AX1" t="s">
        <v>242</v>
      </c>
      <c r="AY1" t="s">
        <v>281</v>
      </c>
      <c r="BA1" t="s">
        <v>242</v>
      </c>
      <c r="BB1" t="s">
        <v>282</v>
      </c>
      <c r="BD1" t="s">
        <v>243</v>
      </c>
      <c r="BE1" t="s">
        <v>281</v>
      </c>
      <c r="BG1" t="s">
        <v>243</v>
      </c>
      <c r="BH1" t="s">
        <v>282</v>
      </c>
    </row>
    <row r="2" spans="2:60" x14ac:dyDescent="0.25">
      <c r="B2" t="s">
        <v>140</v>
      </c>
      <c r="C2">
        <f>FWY_Project!$M$17</f>
        <v>0</v>
      </c>
      <c r="E2" t="s">
        <v>140</v>
      </c>
      <c r="F2">
        <f>FWY_Project!$M$17</f>
        <v>0</v>
      </c>
      <c r="H2" t="s">
        <v>140</v>
      </c>
      <c r="I2">
        <f>FWY_Project!$M$17</f>
        <v>0</v>
      </c>
      <c r="K2" t="s">
        <v>140</v>
      </c>
      <c r="L2">
        <f>FWY_Project!$M$17</f>
        <v>0</v>
      </c>
      <c r="N2" t="s">
        <v>140</v>
      </c>
      <c r="O2">
        <f>FWY_Project!$M$17</f>
        <v>0</v>
      </c>
      <c r="Q2" t="s">
        <v>140</v>
      </c>
      <c r="R2">
        <f>FWY_Project!$M$17</f>
        <v>0</v>
      </c>
      <c r="T2" t="s">
        <v>140</v>
      </c>
      <c r="U2">
        <f>FWY_Project!$M$17</f>
        <v>0</v>
      </c>
      <c r="W2" t="s">
        <v>140</v>
      </c>
      <c r="X2">
        <f>FWY_Project!$M$17</f>
        <v>0</v>
      </c>
      <c r="Z2" t="s">
        <v>140</v>
      </c>
      <c r="AA2">
        <f>FWY_Project!$M$17</f>
        <v>0</v>
      </c>
      <c r="AC2" t="s">
        <v>140</v>
      </c>
      <c r="AD2">
        <f>FWY_Project!$M$17</f>
        <v>0</v>
      </c>
      <c r="AF2" t="s">
        <v>140</v>
      </c>
      <c r="AG2">
        <f>FWY_Project!$M$17</f>
        <v>0</v>
      </c>
      <c r="AI2" t="s">
        <v>140</v>
      </c>
      <c r="AJ2">
        <f>FWY_Project!$M$17</f>
        <v>0</v>
      </c>
      <c r="AL2" t="s">
        <v>140</v>
      </c>
      <c r="AM2">
        <f>FWY_Project!$M$17</f>
        <v>0</v>
      </c>
      <c r="AO2" t="s">
        <v>140</v>
      </c>
      <c r="AP2">
        <f>FWY_Project!$M$17</f>
        <v>0</v>
      </c>
      <c r="AR2" t="s">
        <v>140</v>
      </c>
      <c r="AS2">
        <f>FWY_Project!$M$17</f>
        <v>0</v>
      </c>
      <c r="AU2" t="s">
        <v>140</v>
      </c>
      <c r="AV2">
        <f>FWY_Project!$M$17</f>
        <v>0</v>
      </c>
      <c r="AX2" t="s">
        <v>140</v>
      </c>
      <c r="AY2">
        <f>FWY_Project!$M$17</f>
        <v>0</v>
      </c>
      <c r="BA2" t="s">
        <v>140</v>
      </c>
      <c r="BB2">
        <f>FWY_Project!$M$17</f>
        <v>0</v>
      </c>
      <c r="BD2" t="s">
        <v>140</v>
      </c>
      <c r="BE2">
        <f>FWY_Project!$M$17</f>
        <v>0</v>
      </c>
      <c r="BG2" t="s">
        <v>140</v>
      </c>
      <c r="BH2">
        <f>FWY_Project!$M$17</f>
        <v>0</v>
      </c>
    </row>
    <row r="3" spans="2:60" x14ac:dyDescent="0.25">
      <c r="B3" t="s">
        <v>141</v>
      </c>
      <c r="C3">
        <f>FWY_Project!L19</f>
        <v>0</v>
      </c>
      <c r="E3" t="s">
        <v>141</v>
      </c>
      <c r="F3">
        <f>FWY_Project!L19</f>
        <v>0</v>
      </c>
      <c r="H3" t="s">
        <v>141</v>
      </c>
      <c r="I3">
        <f>FWY_Project!L21</f>
        <v>2200</v>
      </c>
      <c r="K3" t="s">
        <v>141</v>
      </c>
      <c r="L3">
        <f>FWY_Project!L21</f>
        <v>2200</v>
      </c>
      <c r="N3" t="s">
        <v>141</v>
      </c>
      <c r="O3">
        <f>FWY_Project!L22</f>
        <v>2250</v>
      </c>
      <c r="Q3" t="s">
        <v>141</v>
      </c>
      <c r="R3">
        <f>FWY_Project!L22</f>
        <v>2250</v>
      </c>
      <c r="T3" t="s">
        <v>141</v>
      </c>
      <c r="U3">
        <f>FWY_Project!L23</f>
        <v>3000</v>
      </c>
      <c r="W3" t="s">
        <v>141</v>
      </c>
      <c r="X3">
        <f>FWY_Project!L23</f>
        <v>3000</v>
      </c>
      <c r="Z3" t="s">
        <v>141</v>
      </c>
      <c r="AA3">
        <f>FWY_Project!L24</f>
        <v>3050</v>
      </c>
      <c r="AC3" t="s">
        <v>141</v>
      </c>
      <c r="AD3">
        <f>FWY_Project!L24</f>
        <v>3050</v>
      </c>
      <c r="AF3" t="s">
        <v>141</v>
      </c>
      <c r="AG3">
        <f>FWY_Project!L25</f>
        <v>0</v>
      </c>
      <c r="AI3" t="s">
        <v>141</v>
      </c>
      <c r="AJ3">
        <f>FWY_Project!L25</f>
        <v>0</v>
      </c>
      <c r="AL3" t="s">
        <v>141</v>
      </c>
      <c r="AM3">
        <f>FWY_Project!L26</f>
        <v>0</v>
      </c>
      <c r="AO3" t="s">
        <v>141</v>
      </c>
      <c r="AP3">
        <f>FWY_Project!L26</f>
        <v>0</v>
      </c>
      <c r="AR3" t="s">
        <v>141</v>
      </c>
      <c r="AS3">
        <f>FWY_Project!L27</f>
        <v>0</v>
      </c>
      <c r="AU3" t="s">
        <v>141</v>
      </c>
      <c r="AV3">
        <f>FWY_Project!L27</f>
        <v>0</v>
      </c>
      <c r="AX3" t="s">
        <v>141</v>
      </c>
      <c r="AY3">
        <f>FWY_Project!L28</f>
        <v>0</v>
      </c>
      <c r="BA3" t="s">
        <v>141</v>
      </c>
      <c r="BB3">
        <f>FWY_Project!L28</f>
        <v>0</v>
      </c>
      <c r="BD3" t="s">
        <v>141</v>
      </c>
      <c r="BE3">
        <f>FWY_Project!L29</f>
        <v>0</v>
      </c>
      <c r="BG3" t="s">
        <v>141</v>
      </c>
      <c r="BH3">
        <f>FWY_Project!L29</f>
        <v>0</v>
      </c>
    </row>
    <row r="4" spans="2:60" x14ac:dyDescent="0.25">
      <c r="B4" t="s">
        <v>142</v>
      </c>
      <c r="C4" s="120">
        <f>FWY_Project!$M$16*100</f>
        <v>0</v>
      </c>
      <c r="E4" t="s">
        <v>142</v>
      </c>
      <c r="F4" s="120">
        <f>FWY_Project!$M$16*100</f>
        <v>0</v>
      </c>
      <c r="H4" t="s">
        <v>142</v>
      </c>
      <c r="I4" s="120">
        <f>FWY_Project!$M$16*100</f>
        <v>0</v>
      </c>
      <c r="K4" t="s">
        <v>142</v>
      </c>
      <c r="L4" s="120">
        <f>FWY_Project!$M$16*100</f>
        <v>0</v>
      </c>
      <c r="N4" t="s">
        <v>142</v>
      </c>
      <c r="O4" s="120">
        <f>FWY_Project!$M$16*100</f>
        <v>0</v>
      </c>
      <c r="Q4" t="s">
        <v>142</v>
      </c>
      <c r="R4" s="120">
        <f>FWY_Project!$M$16*100</f>
        <v>0</v>
      </c>
      <c r="T4" t="s">
        <v>142</v>
      </c>
      <c r="U4" s="120">
        <f>FWY_Project!$M$16*100</f>
        <v>0</v>
      </c>
      <c r="W4" t="s">
        <v>142</v>
      </c>
      <c r="X4" s="120">
        <f>FWY_Project!$M$16*100</f>
        <v>0</v>
      </c>
      <c r="Z4" t="s">
        <v>142</v>
      </c>
      <c r="AA4" s="120">
        <f>FWY_Project!$M$16*100</f>
        <v>0</v>
      </c>
      <c r="AC4" t="s">
        <v>142</v>
      </c>
      <c r="AD4" s="120">
        <f>FWY_Project!$M$16*100</f>
        <v>0</v>
      </c>
      <c r="AF4" t="s">
        <v>142</v>
      </c>
      <c r="AG4" s="120">
        <f>FWY_Project!$M$16*100</f>
        <v>0</v>
      </c>
      <c r="AI4" t="s">
        <v>142</v>
      </c>
      <c r="AJ4" s="120">
        <f>FWY_Project!$M$16*100</f>
        <v>0</v>
      </c>
      <c r="AL4" t="s">
        <v>142</v>
      </c>
      <c r="AM4" s="120">
        <f>FWY_Project!$M$16*100</f>
        <v>0</v>
      </c>
      <c r="AO4" t="s">
        <v>142</v>
      </c>
      <c r="AP4" s="120">
        <f>FWY_Project!$M$16*100</f>
        <v>0</v>
      </c>
      <c r="AR4" t="s">
        <v>142</v>
      </c>
      <c r="AS4" s="120">
        <f>FWY_Project!$M$16*100</f>
        <v>0</v>
      </c>
      <c r="AU4" t="s">
        <v>142</v>
      </c>
      <c r="AV4" s="120">
        <f>FWY_Project!$M$16*100</f>
        <v>0</v>
      </c>
      <c r="AX4" t="s">
        <v>142</v>
      </c>
      <c r="AY4" s="120">
        <f>FWY_Project!$M$16*100</f>
        <v>0</v>
      </c>
      <c r="BA4" t="s">
        <v>142</v>
      </c>
      <c r="BB4" s="120">
        <f>FWY_Project!$M$16*100</f>
        <v>0</v>
      </c>
      <c r="BD4" t="s">
        <v>142</v>
      </c>
      <c r="BE4" s="120">
        <f>FWY_Project!$M$16*100</f>
        <v>0</v>
      </c>
      <c r="BG4" t="s">
        <v>142</v>
      </c>
      <c r="BH4" s="120">
        <f>FWY_Project!$M$16*100</f>
        <v>0</v>
      </c>
    </row>
    <row r="5" spans="2:60" x14ac:dyDescent="0.25">
      <c r="B5" t="s">
        <v>153</v>
      </c>
      <c r="C5">
        <f>IF(C2&lt;=10,10,IF(C2&lt;=15,15,IF(C2&lt;=20,20,IF(C2&lt;=25,25,IF(C2&lt;=30,30,IF(C2&lt;=35,35,IF(C2&lt;=40,40,IF(C2&lt;=45,45,IF(C2&lt;=50,50,IF(C2&lt;=55,55,IF(C2&lt;=60,60,IF(C2&lt;=65,65,IF(C2&lt;=70,70,IF(C2&lt;=75,75,IF(C2&lt;=80,80,80)))))))))))))))</f>
        <v>10</v>
      </c>
      <c r="E5" t="s">
        <v>153</v>
      </c>
      <c r="F5">
        <f>IF(F2&lt;=10,10,IF(F2&lt;=15,15,IF(F2&lt;=20,20,IF(F2&lt;=25,25,IF(F2&lt;=30,30,IF(F2&lt;=35,35,IF(F2&lt;=40,40,IF(F2&lt;=45,45,IF(F2&lt;=50,50,IF(F2&lt;=55,55,IF(F2&lt;=60,60,IF(F2&lt;=65,65,IF(F2&lt;=70,70,IF(F2&lt;=75,75,IF(F2&lt;=80,80,80)))))))))))))))</f>
        <v>10</v>
      </c>
      <c r="H5" t="s">
        <v>153</v>
      </c>
      <c r="I5">
        <f>IF(I2&lt;=10,10,IF(I2&lt;=15,15,IF(I2&lt;=20,20,IF(I2&lt;=25,25,IF(I2&lt;=30,30,IF(I2&lt;=35,35,IF(I2&lt;=40,40,IF(I2&lt;=45,45,IF(I2&lt;=50,50,IF(I2&lt;=55,55,IF(I2&lt;=60,60,IF(I2&lt;=65,65,IF(I2&lt;=70,70,IF(I2&lt;=75,75,IF(I2&lt;=80,80,80)))))))))))))))</f>
        <v>10</v>
      </c>
      <c r="K5" t="s">
        <v>153</v>
      </c>
      <c r="L5">
        <f>IF(L2&lt;=10,10,IF(L2&lt;=15,15,IF(L2&lt;=20,20,IF(L2&lt;=25,25,IF(L2&lt;=30,30,IF(L2&lt;=35,35,IF(L2&lt;=40,40,IF(L2&lt;=45,45,IF(L2&lt;=50,50,IF(L2&lt;=55,55,IF(L2&lt;=60,60,IF(L2&lt;=65,65,IF(L2&lt;=70,70,IF(L2&lt;=75,75,IF(L2&lt;=80,80,80)))))))))))))))</f>
        <v>10</v>
      </c>
      <c r="N5" t="s">
        <v>153</v>
      </c>
      <c r="O5">
        <f>IF(O2&lt;=10,10,IF(O2&lt;=15,15,IF(O2&lt;=20,20,IF(O2&lt;=25,25,IF(O2&lt;=30,30,IF(O2&lt;=35,35,IF(O2&lt;=40,40,IF(O2&lt;=45,45,IF(O2&lt;=50,50,IF(O2&lt;=55,55,IF(O2&lt;=60,60,IF(O2&lt;=65,65,IF(O2&lt;=70,70,IF(O2&lt;=75,75,IF(O2&lt;=80,80,80)))))))))))))))</f>
        <v>10</v>
      </c>
      <c r="Q5" t="s">
        <v>153</v>
      </c>
      <c r="R5">
        <f>IF(R2&lt;=10,10,IF(R2&lt;=15,15,IF(R2&lt;=20,20,IF(R2&lt;=25,25,IF(R2&lt;=30,30,IF(R2&lt;=35,35,IF(R2&lt;=40,40,IF(R2&lt;=45,45,IF(R2&lt;=50,50,IF(R2&lt;=55,55,IF(R2&lt;=60,60,IF(R2&lt;=65,65,IF(R2&lt;=70,70,IF(R2&lt;=75,75,IF(R2&lt;=80,80,80)))))))))))))))</f>
        <v>10</v>
      </c>
      <c r="T5" t="s">
        <v>153</v>
      </c>
      <c r="U5">
        <f>IF(U2&lt;=10,10,IF(U2&lt;=15,15,IF(U2&lt;=20,20,IF(U2&lt;=25,25,IF(U2&lt;=30,30,IF(U2&lt;=35,35,IF(U2&lt;=40,40,IF(U2&lt;=45,45,IF(U2&lt;=50,50,IF(U2&lt;=55,55,IF(U2&lt;=60,60,IF(U2&lt;=65,65,IF(U2&lt;=70,70,IF(U2&lt;=75,75,IF(U2&lt;=80,80,80)))))))))))))))</f>
        <v>10</v>
      </c>
      <c r="W5" t="s">
        <v>153</v>
      </c>
      <c r="X5">
        <f>IF(X2&lt;=10,10,IF(X2&lt;=15,15,IF(X2&lt;=20,20,IF(X2&lt;=25,25,IF(X2&lt;=30,30,IF(X2&lt;=35,35,IF(X2&lt;=40,40,IF(X2&lt;=45,45,IF(X2&lt;=50,50,IF(X2&lt;=55,55,IF(X2&lt;=60,60,IF(X2&lt;=65,65,IF(X2&lt;=70,70,IF(X2&lt;=75,75,IF(X2&lt;=80,80,80)))))))))))))))</f>
        <v>10</v>
      </c>
      <c r="Z5" t="s">
        <v>153</v>
      </c>
      <c r="AA5">
        <f>IF(AA2&lt;=10,10,IF(AA2&lt;=15,15,IF(AA2&lt;=20,20,IF(AA2&lt;=25,25,IF(AA2&lt;=30,30,IF(AA2&lt;=35,35,IF(AA2&lt;=40,40,IF(AA2&lt;=45,45,IF(AA2&lt;=50,50,IF(AA2&lt;=55,55,IF(AA2&lt;=60,60,IF(AA2&lt;=65,65,IF(AA2&lt;=70,70,IF(AA2&lt;=75,75,IF(AA2&lt;=80,80,80)))))))))))))))</f>
        <v>10</v>
      </c>
      <c r="AC5" t="s">
        <v>153</v>
      </c>
      <c r="AD5">
        <f>IF(AD2&lt;=10,10,IF(AD2&lt;=15,15,IF(AD2&lt;=20,20,IF(AD2&lt;=25,25,IF(AD2&lt;=30,30,IF(AD2&lt;=35,35,IF(AD2&lt;=40,40,IF(AD2&lt;=45,45,IF(AD2&lt;=50,50,IF(AD2&lt;=55,55,IF(AD2&lt;=60,60,IF(AD2&lt;=65,65,IF(AD2&lt;=70,70,IF(AD2&lt;=75,75,IF(AD2&lt;=80,80,80)))))))))))))))</f>
        <v>10</v>
      </c>
      <c r="AF5" t="s">
        <v>153</v>
      </c>
      <c r="AG5">
        <f>IF(AG2&lt;=10,10,IF(AG2&lt;=15,15,IF(AG2&lt;=20,20,IF(AG2&lt;=25,25,IF(AG2&lt;=30,30,IF(AG2&lt;=35,35,IF(AG2&lt;=40,40,IF(AG2&lt;=45,45,IF(AG2&lt;=50,50,IF(AG2&lt;=55,55,IF(AG2&lt;=60,60,IF(AG2&lt;=65,65,IF(AG2&lt;=70,70,IF(AG2&lt;=75,75,IF(AG2&lt;=80,80,80)))))))))))))))</f>
        <v>10</v>
      </c>
      <c r="AI5" t="s">
        <v>153</v>
      </c>
      <c r="AJ5">
        <f>IF(AJ2&lt;=10,10,IF(AJ2&lt;=15,15,IF(AJ2&lt;=20,20,IF(AJ2&lt;=25,25,IF(AJ2&lt;=30,30,IF(AJ2&lt;=35,35,IF(AJ2&lt;=40,40,IF(AJ2&lt;=45,45,IF(AJ2&lt;=50,50,IF(AJ2&lt;=55,55,IF(AJ2&lt;=60,60,IF(AJ2&lt;=65,65,IF(AJ2&lt;=70,70,IF(AJ2&lt;=75,75,IF(AJ2&lt;=80,80,80)))))))))))))))</f>
        <v>10</v>
      </c>
      <c r="AL5" t="s">
        <v>153</v>
      </c>
      <c r="AM5">
        <f>IF(AM2&lt;=10,10,IF(AM2&lt;=15,15,IF(AM2&lt;=20,20,IF(AM2&lt;=25,25,IF(AM2&lt;=30,30,IF(AM2&lt;=35,35,IF(AM2&lt;=40,40,IF(AM2&lt;=45,45,IF(AM2&lt;=50,50,IF(AM2&lt;=55,55,IF(AM2&lt;=60,60,IF(AM2&lt;=65,65,IF(AM2&lt;=70,70,IF(AM2&lt;=75,75,IF(AM2&lt;=80,80,80)))))))))))))))</f>
        <v>10</v>
      </c>
      <c r="AO5" t="s">
        <v>153</v>
      </c>
      <c r="AP5">
        <f>IF(AP2&lt;=10,10,IF(AP2&lt;=15,15,IF(AP2&lt;=20,20,IF(AP2&lt;=25,25,IF(AP2&lt;=30,30,IF(AP2&lt;=35,35,IF(AP2&lt;=40,40,IF(AP2&lt;=45,45,IF(AP2&lt;=50,50,IF(AP2&lt;=55,55,IF(AP2&lt;=60,60,IF(AP2&lt;=65,65,IF(AP2&lt;=70,70,IF(AP2&lt;=75,75,IF(AP2&lt;=80,80,80)))))))))))))))</f>
        <v>10</v>
      </c>
      <c r="AR5" t="s">
        <v>153</v>
      </c>
      <c r="AS5">
        <f>IF(AS2&lt;=10,10,IF(AS2&lt;=15,15,IF(AS2&lt;=20,20,IF(AS2&lt;=25,25,IF(AS2&lt;=30,30,IF(AS2&lt;=35,35,IF(AS2&lt;=40,40,IF(AS2&lt;=45,45,IF(AS2&lt;=50,50,IF(AS2&lt;=55,55,IF(AS2&lt;=60,60,IF(AS2&lt;=65,65,IF(AS2&lt;=70,70,IF(AS2&lt;=75,75,IF(AS2&lt;=80,80,80)))))))))))))))</f>
        <v>10</v>
      </c>
      <c r="AU5" t="s">
        <v>153</v>
      </c>
      <c r="AV5">
        <f>IF(AV2&lt;=10,10,IF(AV2&lt;=15,15,IF(AV2&lt;=20,20,IF(AV2&lt;=25,25,IF(AV2&lt;=30,30,IF(AV2&lt;=35,35,IF(AV2&lt;=40,40,IF(AV2&lt;=45,45,IF(AV2&lt;=50,50,IF(AV2&lt;=55,55,IF(AV2&lt;=60,60,IF(AV2&lt;=65,65,IF(AV2&lt;=70,70,IF(AV2&lt;=75,75,IF(AV2&lt;=80,80,80)))))))))))))))</f>
        <v>10</v>
      </c>
      <c r="AX5" t="s">
        <v>153</v>
      </c>
      <c r="AY5">
        <f>IF(AY2&lt;=10,10,IF(AY2&lt;=15,15,IF(AY2&lt;=20,20,IF(AY2&lt;=25,25,IF(AY2&lt;=30,30,IF(AY2&lt;=35,35,IF(AY2&lt;=40,40,IF(AY2&lt;=45,45,IF(AY2&lt;=50,50,IF(AY2&lt;=55,55,IF(AY2&lt;=60,60,IF(AY2&lt;=65,65,IF(AY2&lt;=70,70,IF(AY2&lt;=75,75,IF(AY2&lt;=80,80,80)))))))))))))))</f>
        <v>10</v>
      </c>
      <c r="BA5" t="s">
        <v>153</v>
      </c>
      <c r="BB5">
        <f>IF(BB2&lt;=10,10,IF(BB2&lt;=15,15,IF(BB2&lt;=20,20,IF(BB2&lt;=25,25,IF(BB2&lt;=30,30,IF(BB2&lt;=35,35,IF(BB2&lt;=40,40,IF(BB2&lt;=45,45,IF(BB2&lt;=50,50,IF(BB2&lt;=55,55,IF(BB2&lt;=60,60,IF(BB2&lt;=65,65,IF(BB2&lt;=70,70,IF(BB2&lt;=75,75,IF(BB2&lt;=80,80,80)))))))))))))))</f>
        <v>10</v>
      </c>
      <c r="BD5" t="s">
        <v>153</v>
      </c>
      <c r="BE5">
        <f>IF(BE2&lt;=10,10,IF(BE2&lt;=15,15,IF(BE2&lt;=20,20,IF(BE2&lt;=25,25,IF(BE2&lt;=30,30,IF(BE2&lt;=35,35,IF(BE2&lt;=40,40,IF(BE2&lt;=45,45,IF(BE2&lt;=50,50,IF(BE2&lt;=55,55,IF(BE2&lt;=60,60,IF(BE2&lt;=65,65,IF(BE2&lt;=70,70,IF(BE2&lt;=75,75,IF(BE2&lt;=80,80,80)))))))))))))))</f>
        <v>10</v>
      </c>
      <c r="BG5" t="s">
        <v>153</v>
      </c>
      <c r="BH5">
        <f>IF(BH2&lt;=10,10,IF(BH2&lt;=15,15,IF(BH2&lt;=20,20,IF(BH2&lt;=25,25,IF(BH2&lt;=30,30,IF(BH2&lt;=35,35,IF(BH2&lt;=40,40,IF(BH2&lt;=45,45,IF(BH2&lt;=50,50,IF(BH2&lt;=55,55,IF(BH2&lt;=60,60,IF(BH2&lt;=65,65,IF(BH2&lt;=70,70,IF(BH2&lt;=75,75,IF(BH2&lt;=80,80,80)))))))))))))))</f>
        <v>10</v>
      </c>
    </row>
    <row r="6" spans="2:60" x14ac:dyDescent="0.25">
      <c r="B6" t="s">
        <v>139</v>
      </c>
      <c r="C6">
        <f>IF(C5=10,10,IF(C5=15,15,IF(C5=20,20,IF(C5=25,24,IF(C5=30,28,IF(C5=35,32,IF(C5=40,36,IF(C5=45,40,IF(C5=50,44,IF(C5=55,48,IF(C5=60,52,IF(C5=65,55,IF(C5=70,58,IF(C5=75,61,IF(C5=80,64,"na")))))))))))))))</f>
        <v>10</v>
      </c>
      <c r="E6" t="s">
        <v>139</v>
      </c>
      <c r="F6">
        <f>IF(F5=10,10,IF(F5=15,15,IF(F5=20,20,IF(F5=25,24,IF(F5=30,28,IF(F5=35,32,IF(F5=40,36,IF(F5=45,40,IF(F5=50,44,IF(F5=55,48,IF(F5=60,52,IF(F5=65,55,IF(F5=70,58,IF(F5=75,61,IF(F5=80,64,"na")))))))))))))))</f>
        <v>10</v>
      </c>
      <c r="H6" t="s">
        <v>139</v>
      </c>
      <c r="I6">
        <f>IF(I5=10,10,IF(I5=15,15,IF(I5=20,20,IF(I5=25,24,IF(I5=30,28,IF(I5=35,32,IF(I5=40,36,IF(I5=45,40,IF(I5=50,44,IF(I5=55,48,IF(I5=60,52,IF(I5=65,55,IF(I5=70,58,IF(I5=75,61,IF(I5=80,64,"na")))))))))))))))</f>
        <v>10</v>
      </c>
      <c r="K6" t="s">
        <v>139</v>
      </c>
      <c r="L6">
        <f>IF(L5=10,10,IF(L5=15,15,IF(L5=20,20,IF(L5=25,24,IF(L5=30,28,IF(L5=35,32,IF(L5=40,36,IF(L5=45,40,IF(L5=50,44,IF(L5=55,48,IF(L5=60,52,IF(L5=65,55,IF(L5=70,58,IF(L5=75,61,IF(L5=80,64,"na")))))))))))))))</f>
        <v>10</v>
      </c>
      <c r="N6" t="s">
        <v>139</v>
      </c>
      <c r="O6">
        <f>IF(O5=10,10,IF(O5=15,15,IF(O5=20,20,IF(O5=25,24,IF(O5=30,28,IF(O5=35,32,IF(O5=40,36,IF(O5=45,40,IF(O5=50,44,IF(O5=55,48,IF(O5=60,52,IF(O5=65,55,IF(O5=70,58,IF(O5=75,61,IF(O5=80,64,"na")))))))))))))))</f>
        <v>10</v>
      </c>
      <c r="Q6" t="s">
        <v>139</v>
      </c>
      <c r="R6">
        <f>IF(R5=10,10,IF(R5=15,15,IF(R5=20,20,IF(R5=25,24,IF(R5=30,28,IF(R5=35,32,IF(R5=40,36,IF(R5=45,40,IF(R5=50,44,IF(R5=55,48,IF(R5=60,52,IF(R5=65,55,IF(R5=70,58,IF(R5=75,61,IF(R5=80,64,"na")))))))))))))))</f>
        <v>10</v>
      </c>
      <c r="T6" t="s">
        <v>139</v>
      </c>
      <c r="U6">
        <f>IF(U5=10,10,IF(U5=15,15,IF(U5=20,20,IF(U5=25,24,IF(U5=30,28,IF(U5=35,32,IF(U5=40,36,IF(U5=45,40,IF(U5=50,44,IF(U5=55,48,IF(U5=60,52,IF(U5=65,55,IF(U5=70,58,IF(U5=75,61,IF(U5=80,64,"na")))))))))))))))</f>
        <v>10</v>
      </c>
      <c r="W6" t="s">
        <v>139</v>
      </c>
      <c r="X6">
        <f>IF(X5=10,10,IF(X5=15,15,IF(X5=20,20,IF(X5=25,24,IF(X5=30,28,IF(X5=35,32,IF(X5=40,36,IF(X5=45,40,IF(X5=50,44,IF(X5=55,48,IF(X5=60,52,IF(X5=65,55,IF(X5=70,58,IF(X5=75,61,IF(X5=80,64,"na")))))))))))))))</f>
        <v>10</v>
      </c>
      <c r="Z6" t="s">
        <v>139</v>
      </c>
      <c r="AA6">
        <f>IF(AA5=10,10,IF(AA5=15,15,IF(AA5=20,20,IF(AA5=25,24,IF(AA5=30,28,IF(AA5=35,32,IF(AA5=40,36,IF(AA5=45,40,IF(AA5=50,44,IF(AA5=55,48,IF(AA5=60,52,IF(AA5=65,55,IF(AA5=70,58,IF(AA5=75,61,IF(AA5=80,64,"na")))))))))))))))</f>
        <v>10</v>
      </c>
      <c r="AC6" t="s">
        <v>139</v>
      </c>
      <c r="AD6">
        <f>IF(AD5=10,10,IF(AD5=15,15,IF(AD5=20,20,IF(AD5=25,24,IF(AD5=30,28,IF(AD5=35,32,IF(AD5=40,36,IF(AD5=45,40,IF(AD5=50,44,IF(AD5=55,48,IF(AD5=60,52,IF(AD5=65,55,IF(AD5=70,58,IF(AD5=75,61,IF(AD5=80,64,"na")))))))))))))))</f>
        <v>10</v>
      </c>
      <c r="AF6" t="s">
        <v>139</v>
      </c>
      <c r="AG6">
        <f>IF(AG5=10,10,IF(AG5=15,15,IF(AG5=20,20,IF(AG5=25,24,IF(AG5=30,28,IF(AG5=35,32,IF(AG5=40,36,IF(AG5=45,40,IF(AG5=50,44,IF(AG5=55,48,IF(AG5=60,52,IF(AG5=65,55,IF(AG5=70,58,IF(AG5=75,61,IF(AG5=80,64,"na")))))))))))))))</f>
        <v>10</v>
      </c>
      <c r="AI6" t="s">
        <v>139</v>
      </c>
      <c r="AJ6">
        <f>IF(AJ5=10,10,IF(AJ5=15,15,IF(AJ5=20,20,IF(AJ5=25,24,IF(AJ5=30,28,IF(AJ5=35,32,IF(AJ5=40,36,IF(AJ5=45,40,IF(AJ5=50,44,IF(AJ5=55,48,IF(AJ5=60,52,IF(AJ5=65,55,IF(AJ5=70,58,IF(AJ5=75,61,IF(AJ5=80,64,"na")))))))))))))))</f>
        <v>10</v>
      </c>
      <c r="AL6" t="s">
        <v>139</v>
      </c>
      <c r="AM6">
        <f>IF(AM5=10,10,IF(AM5=15,15,IF(AM5=20,20,IF(AM5=25,24,IF(AM5=30,28,IF(AM5=35,32,IF(AM5=40,36,IF(AM5=45,40,IF(AM5=50,44,IF(AM5=55,48,IF(AM5=60,52,IF(AM5=65,55,IF(AM5=70,58,IF(AM5=75,61,IF(AM5=80,64,"na")))))))))))))))</f>
        <v>10</v>
      </c>
      <c r="AO6" t="s">
        <v>139</v>
      </c>
      <c r="AP6">
        <f>IF(AP5=10,10,IF(AP5=15,15,IF(AP5=20,20,IF(AP5=25,24,IF(AP5=30,28,IF(AP5=35,32,IF(AP5=40,36,IF(AP5=45,40,IF(AP5=50,44,IF(AP5=55,48,IF(AP5=60,52,IF(AP5=65,55,IF(AP5=70,58,IF(AP5=75,61,IF(AP5=80,64,"na")))))))))))))))</f>
        <v>10</v>
      </c>
      <c r="AR6" t="s">
        <v>139</v>
      </c>
      <c r="AS6">
        <f>IF(AS5=10,10,IF(AS5=15,15,IF(AS5=20,20,IF(AS5=25,24,IF(AS5=30,28,IF(AS5=35,32,IF(AS5=40,36,IF(AS5=45,40,IF(AS5=50,44,IF(AS5=55,48,IF(AS5=60,52,IF(AS5=65,55,IF(AS5=70,58,IF(AS5=75,61,IF(AS5=80,64,"na")))))))))))))))</f>
        <v>10</v>
      </c>
      <c r="AU6" t="s">
        <v>139</v>
      </c>
      <c r="AV6">
        <f>IF(AV5=10,10,IF(AV5=15,15,IF(AV5=20,20,IF(AV5=25,24,IF(AV5=30,28,IF(AV5=35,32,IF(AV5=40,36,IF(AV5=45,40,IF(AV5=50,44,IF(AV5=55,48,IF(AV5=60,52,IF(AV5=65,55,IF(AV5=70,58,IF(AV5=75,61,IF(AV5=80,64,"na")))))))))))))))</f>
        <v>10</v>
      </c>
      <c r="AX6" t="s">
        <v>139</v>
      </c>
      <c r="AY6">
        <f>IF(AY5=10,10,IF(AY5=15,15,IF(AY5=20,20,IF(AY5=25,24,IF(AY5=30,28,IF(AY5=35,32,IF(AY5=40,36,IF(AY5=45,40,IF(AY5=50,44,IF(AY5=55,48,IF(AY5=60,52,IF(AY5=65,55,IF(AY5=70,58,IF(AY5=75,61,IF(AY5=80,64,"na")))))))))))))))</f>
        <v>10</v>
      </c>
      <c r="BA6" t="s">
        <v>139</v>
      </c>
      <c r="BB6">
        <f>IF(BB5=10,10,IF(BB5=15,15,IF(BB5=20,20,IF(BB5=25,24,IF(BB5=30,28,IF(BB5=35,32,IF(BB5=40,36,IF(BB5=45,40,IF(BB5=50,44,IF(BB5=55,48,IF(BB5=60,52,IF(BB5=65,55,IF(BB5=70,58,IF(BB5=75,61,IF(BB5=80,64,"na")))))))))))))))</f>
        <v>10</v>
      </c>
      <c r="BD6" t="s">
        <v>139</v>
      </c>
      <c r="BE6">
        <f>IF(BE5=10,10,IF(BE5=15,15,IF(BE5=20,20,IF(BE5=25,24,IF(BE5=30,28,IF(BE5=35,32,IF(BE5=40,36,IF(BE5=45,40,IF(BE5=50,44,IF(BE5=55,48,IF(BE5=60,52,IF(BE5=65,55,IF(BE5=70,58,IF(BE5=75,61,IF(BE5=80,64,"na")))))))))))))))</f>
        <v>10</v>
      </c>
      <c r="BG6" t="s">
        <v>139</v>
      </c>
      <c r="BH6">
        <f>IF(BH5=10,10,IF(BH5=15,15,IF(BH5=20,20,IF(BH5=25,24,IF(BH5=30,28,IF(BH5=35,32,IF(BH5=40,36,IF(BH5=45,40,IF(BH5=50,44,IF(BH5=55,48,IF(BH5=60,52,IF(BH5=65,55,IF(BH5=70,58,IF(BH5=75,61,IF(BH5=80,64,"na")))))))))))))))</f>
        <v>10</v>
      </c>
    </row>
    <row r="7" spans="2:60" x14ac:dyDescent="0.25">
      <c r="B7" t="s">
        <v>143</v>
      </c>
      <c r="C7">
        <f>IF(C5=10,0.38,IF(C5=15,0.32,IF(C5=20,0.27,IF(C5=25,0.23,IF(C5=30,0.2,IF(C5=35,0.18,IF(C5=40,0.16,IF(C5=45,0.15,IF(C5=50,0.14,IF(C5=55,0.13,IF(C5=60,0.12,IF(C5=65,0.11,IF(C5=70,0.1,IF(C5=75,0.09,IF(C5=80,0.08,0.08)))))))))))))))</f>
        <v>0.38</v>
      </c>
      <c r="E7" t="s">
        <v>143</v>
      </c>
      <c r="F7">
        <f>IF(F5=10,0.38,IF(F5=15,0.32,IF(F5=20,0.27,IF(F5=25,0.23,IF(F5=30,0.2,IF(F5=35,0.18,IF(F5=40,0.16,IF(F5=45,0.15,IF(F5=50,0.14,IF(F5=55,0.13,IF(F5=60,0.12,IF(F5=65,0.11,IF(F5=70,0.1,IF(F5=75,0.09,IF(F5=80,0.08,0.08)))))))))))))))</f>
        <v>0.38</v>
      </c>
      <c r="H7" t="s">
        <v>143</v>
      </c>
      <c r="I7">
        <f>IF(I5=10,0.38,IF(I5=15,0.32,IF(I5=20,0.27,IF(I5=25,0.23,IF(I5=30,0.2,IF(I5=35,0.18,IF(I5=40,0.16,IF(I5=45,0.15,IF(I5=50,0.14,IF(I5=55,0.13,IF(I5=60,0.12,IF(I5=65,0.11,IF(I5=70,0.1,IF(I5=75,0.09,IF(I5=80,0.08,0.08)))))))))))))))</f>
        <v>0.38</v>
      </c>
      <c r="K7" t="s">
        <v>143</v>
      </c>
      <c r="L7">
        <f>IF(L5=10,0.38,IF(L5=15,0.32,IF(L5=20,0.27,IF(L5=25,0.23,IF(L5=30,0.2,IF(L5=35,0.18,IF(L5=40,0.16,IF(L5=45,0.15,IF(L5=50,0.14,IF(L5=55,0.13,IF(L5=60,0.12,IF(L5=65,0.11,IF(L5=70,0.1,IF(L5=75,0.09,IF(L5=80,0.08,0.08)))))))))))))))</f>
        <v>0.38</v>
      </c>
      <c r="N7" t="s">
        <v>143</v>
      </c>
      <c r="O7">
        <f>IF(O5=10,0.38,IF(O5=15,0.32,IF(O5=20,0.27,IF(O5=25,0.23,IF(O5=30,0.2,IF(O5=35,0.18,IF(O5=40,0.16,IF(O5=45,0.15,IF(O5=50,0.14,IF(O5=55,0.13,IF(O5=60,0.12,IF(O5=65,0.11,IF(O5=70,0.1,IF(O5=75,0.09,IF(O5=80,0.08,0.08)))))))))))))))</f>
        <v>0.38</v>
      </c>
      <c r="Q7" t="s">
        <v>143</v>
      </c>
      <c r="R7">
        <f>IF(R5=10,0.38,IF(R5=15,0.32,IF(R5=20,0.27,IF(R5=25,0.23,IF(R5=30,0.2,IF(R5=35,0.18,IF(R5=40,0.16,IF(R5=45,0.15,IF(R5=50,0.14,IF(R5=55,0.13,IF(R5=60,0.12,IF(R5=65,0.11,IF(R5=70,0.1,IF(R5=75,0.09,IF(R5=80,0.08,0.08)))))))))))))))</f>
        <v>0.38</v>
      </c>
      <c r="T7" t="s">
        <v>143</v>
      </c>
      <c r="U7">
        <f>IF(U5=10,0.38,IF(U5=15,0.32,IF(U5=20,0.27,IF(U5=25,0.23,IF(U5=30,0.2,IF(U5=35,0.18,IF(U5=40,0.16,IF(U5=45,0.15,IF(U5=50,0.14,IF(U5=55,0.13,IF(U5=60,0.12,IF(U5=65,0.11,IF(U5=70,0.1,IF(U5=75,0.09,IF(U5=80,0.08,0.08)))))))))))))))</f>
        <v>0.38</v>
      </c>
      <c r="W7" t="s">
        <v>143</v>
      </c>
      <c r="X7">
        <f>IF(X5=10,0.38,IF(X5=15,0.32,IF(X5=20,0.27,IF(X5=25,0.23,IF(X5=30,0.2,IF(X5=35,0.18,IF(X5=40,0.16,IF(X5=45,0.15,IF(X5=50,0.14,IF(X5=55,0.13,IF(X5=60,0.12,IF(X5=65,0.11,IF(X5=70,0.1,IF(X5=75,0.09,IF(X5=80,0.08,0.08)))))))))))))))</f>
        <v>0.38</v>
      </c>
      <c r="Z7" t="s">
        <v>143</v>
      </c>
      <c r="AA7">
        <f>IF(AA5=10,0.38,IF(AA5=15,0.32,IF(AA5=20,0.27,IF(AA5=25,0.23,IF(AA5=30,0.2,IF(AA5=35,0.18,IF(AA5=40,0.16,IF(AA5=45,0.15,IF(AA5=50,0.14,IF(AA5=55,0.13,IF(AA5=60,0.12,IF(AA5=65,0.11,IF(AA5=70,0.1,IF(AA5=75,0.09,IF(AA5=80,0.08,0.08)))))))))))))))</f>
        <v>0.38</v>
      </c>
      <c r="AC7" t="s">
        <v>143</v>
      </c>
      <c r="AD7">
        <f>IF(AD5=10,0.38,IF(AD5=15,0.32,IF(AD5=20,0.27,IF(AD5=25,0.23,IF(AD5=30,0.2,IF(AD5=35,0.18,IF(AD5=40,0.16,IF(AD5=45,0.15,IF(AD5=50,0.14,IF(AD5=55,0.13,IF(AD5=60,0.12,IF(AD5=65,0.11,IF(AD5=70,0.1,IF(AD5=75,0.09,IF(AD5=80,0.08,0.08)))))))))))))))</f>
        <v>0.38</v>
      </c>
      <c r="AF7" t="s">
        <v>143</v>
      </c>
      <c r="AG7">
        <f>IF(AG5=10,0.38,IF(AG5=15,0.32,IF(AG5=20,0.27,IF(AG5=25,0.23,IF(AG5=30,0.2,IF(AG5=35,0.18,IF(AG5=40,0.16,IF(AG5=45,0.15,IF(AG5=50,0.14,IF(AG5=55,0.13,IF(AG5=60,0.12,IF(AG5=65,0.11,IF(AG5=70,0.1,IF(AG5=75,0.09,IF(AG5=80,0.08,0.08)))))))))))))))</f>
        <v>0.38</v>
      </c>
      <c r="AI7" t="s">
        <v>143</v>
      </c>
      <c r="AJ7">
        <f>IF(AJ5=10,0.38,IF(AJ5=15,0.32,IF(AJ5=20,0.27,IF(AJ5=25,0.23,IF(AJ5=30,0.2,IF(AJ5=35,0.18,IF(AJ5=40,0.16,IF(AJ5=45,0.15,IF(AJ5=50,0.14,IF(AJ5=55,0.13,IF(AJ5=60,0.12,IF(AJ5=65,0.11,IF(AJ5=70,0.1,IF(AJ5=75,0.09,IF(AJ5=80,0.08,0.08)))))))))))))))</f>
        <v>0.38</v>
      </c>
      <c r="AL7" t="s">
        <v>143</v>
      </c>
      <c r="AM7">
        <f>IF(AM5=10,0.38,IF(AM5=15,0.32,IF(AM5=20,0.27,IF(AM5=25,0.23,IF(AM5=30,0.2,IF(AM5=35,0.18,IF(AM5=40,0.16,IF(AM5=45,0.15,IF(AM5=50,0.14,IF(AM5=55,0.13,IF(AM5=60,0.12,IF(AM5=65,0.11,IF(AM5=70,0.1,IF(AM5=75,0.09,IF(AM5=80,0.08,0.08)))))))))))))))</f>
        <v>0.38</v>
      </c>
      <c r="AO7" t="s">
        <v>143</v>
      </c>
      <c r="AP7">
        <f>IF(AP5=10,0.38,IF(AP5=15,0.32,IF(AP5=20,0.27,IF(AP5=25,0.23,IF(AP5=30,0.2,IF(AP5=35,0.18,IF(AP5=40,0.16,IF(AP5=45,0.15,IF(AP5=50,0.14,IF(AP5=55,0.13,IF(AP5=60,0.12,IF(AP5=65,0.11,IF(AP5=70,0.1,IF(AP5=75,0.09,IF(AP5=80,0.08,0.08)))))))))))))))</f>
        <v>0.38</v>
      </c>
      <c r="AR7" t="s">
        <v>143</v>
      </c>
      <c r="AS7">
        <f>IF(AS5=10,0.38,IF(AS5=15,0.32,IF(AS5=20,0.27,IF(AS5=25,0.23,IF(AS5=30,0.2,IF(AS5=35,0.18,IF(AS5=40,0.16,IF(AS5=45,0.15,IF(AS5=50,0.14,IF(AS5=55,0.13,IF(AS5=60,0.12,IF(AS5=65,0.11,IF(AS5=70,0.1,IF(AS5=75,0.09,IF(AS5=80,0.08,0.08)))))))))))))))</f>
        <v>0.38</v>
      </c>
      <c r="AU7" t="s">
        <v>143</v>
      </c>
      <c r="AV7">
        <f>IF(AV5=10,0.38,IF(AV5=15,0.32,IF(AV5=20,0.27,IF(AV5=25,0.23,IF(AV5=30,0.2,IF(AV5=35,0.18,IF(AV5=40,0.16,IF(AV5=45,0.15,IF(AV5=50,0.14,IF(AV5=55,0.13,IF(AV5=60,0.12,IF(AV5=65,0.11,IF(AV5=70,0.1,IF(AV5=75,0.09,IF(AV5=80,0.08,0.08)))))))))))))))</f>
        <v>0.38</v>
      </c>
      <c r="AX7" t="s">
        <v>143</v>
      </c>
      <c r="AY7">
        <f>IF(AY5=10,0.38,IF(AY5=15,0.32,IF(AY5=20,0.27,IF(AY5=25,0.23,IF(AY5=30,0.2,IF(AY5=35,0.18,IF(AY5=40,0.16,IF(AY5=45,0.15,IF(AY5=50,0.14,IF(AY5=55,0.13,IF(AY5=60,0.12,IF(AY5=65,0.11,IF(AY5=70,0.1,IF(AY5=75,0.09,IF(AY5=80,0.08,0.08)))))))))))))))</f>
        <v>0.38</v>
      </c>
      <c r="BA7" t="s">
        <v>143</v>
      </c>
      <c r="BB7">
        <f>IF(BB5=10,0.38,IF(BB5=15,0.32,IF(BB5=20,0.27,IF(BB5=25,0.23,IF(BB5=30,0.2,IF(BB5=35,0.18,IF(BB5=40,0.16,IF(BB5=45,0.15,IF(BB5=50,0.14,IF(BB5=55,0.13,IF(BB5=60,0.12,IF(BB5=65,0.11,IF(BB5=70,0.1,IF(BB5=75,0.09,IF(BB5=80,0.08,0.08)))))))))))))))</f>
        <v>0.38</v>
      </c>
      <c r="BD7" t="s">
        <v>143</v>
      </c>
      <c r="BE7">
        <f>IF(BE5=10,0.38,IF(BE5=15,0.32,IF(BE5=20,0.27,IF(BE5=25,0.23,IF(BE5=30,0.2,IF(BE5=35,0.18,IF(BE5=40,0.16,IF(BE5=45,0.15,IF(BE5=50,0.14,IF(BE5=55,0.13,IF(BE5=60,0.12,IF(BE5=65,0.11,IF(BE5=70,0.1,IF(BE5=75,0.09,IF(BE5=80,0.08,0.08)))))))))))))))</f>
        <v>0.38</v>
      </c>
      <c r="BG7" t="s">
        <v>143</v>
      </c>
      <c r="BH7">
        <f>IF(BH5=10,0.38,IF(BH5=15,0.32,IF(BH5=20,0.27,IF(BH5=25,0.23,IF(BH5=30,0.2,IF(BH5=35,0.18,IF(BH5=40,0.16,IF(BH5=45,0.15,IF(BH5=50,0.14,IF(BH5=55,0.13,IF(BH5=60,0.12,IF(BH5=65,0.11,IF(BH5=70,0.1,IF(BH5=75,0.09,IF(BH5=80,0.08,0.08)))))))))))))))</f>
        <v>0.38</v>
      </c>
    </row>
    <row r="8" spans="2:60" x14ac:dyDescent="0.25">
      <c r="B8" t="s">
        <v>144</v>
      </c>
      <c r="C8">
        <f>C5^2/(15*(0.01*C4+C7))</f>
        <v>17.543859649122805</v>
      </c>
      <c r="E8" t="s">
        <v>144</v>
      </c>
      <c r="F8">
        <f>F5^2/(15*(0.01*F4+F7))</f>
        <v>17.543859649122805</v>
      </c>
      <c r="H8" t="s">
        <v>144</v>
      </c>
      <c r="I8">
        <f>I5^2/(15*(0.01*I4+I7))</f>
        <v>17.543859649122805</v>
      </c>
      <c r="K8" t="s">
        <v>144</v>
      </c>
      <c r="L8">
        <f>L5^2/(15*(0.01*L4+L7))</f>
        <v>17.543859649122805</v>
      </c>
      <c r="N8" t="s">
        <v>144</v>
      </c>
      <c r="O8">
        <f>O5^2/(15*(0.01*O4+O7))</f>
        <v>17.543859649122805</v>
      </c>
      <c r="Q8" t="s">
        <v>144</v>
      </c>
      <c r="R8">
        <f>R5^2/(15*(0.01*R4+R7))</f>
        <v>17.543859649122805</v>
      </c>
      <c r="T8" t="s">
        <v>144</v>
      </c>
      <c r="U8">
        <f>U5^2/(15*(0.01*U4+U7))</f>
        <v>17.543859649122805</v>
      </c>
      <c r="W8" t="s">
        <v>144</v>
      </c>
      <c r="X8">
        <f>X5^2/(15*(0.01*X4+X7))</f>
        <v>17.543859649122805</v>
      </c>
      <c r="Z8" t="s">
        <v>144</v>
      </c>
      <c r="AA8">
        <f>AA5^2/(15*(0.01*AA4+AA7))</f>
        <v>17.543859649122805</v>
      </c>
      <c r="AC8" t="s">
        <v>144</v>
      </c>
      <c r="AD8">
        <f>AD5^2/(15*(0.01*AD4+AD7))</f>
        <v>17.543859649122805</v>
      </c>
      <c r="AF8" t="s">
        <v>144</v>
      </c>
      <c r="AG8">
        <f>AG5^2/(15*(0.01*AG4+AG7))</f>
        <v>17.543859649122805</v>
      </c>
      <c r="AI8" t="s">
        <v>144</v>
      </c>
      <c r="AJ8">
        <f>AJ5^2/(15*(0.01*AJ4+AJ7))</f>
        <v>17.543859649122805</v>
      </c>
      <c r="AL8" t="s">
        <v>144</v>
      </c>
      <c r="AM8">
        <f>AM5^2/(15*(0.01*AM4+AM7))</f>
        <v>17.543859649122805</v>
      </c>
      <c r="AO8" t="s">
        <v>144</v>
      </c>
      <c r="AP8">
        <f>AP5^2/(15*(0.01*AP4+AP7))</f>
        <v>17.543859649122805</v>
      </c>
      <c r="AR8" t="s">
        <v>144</v>
      </c>
      <c r="AS8">
        <f>AS5^2/(15*(0.01*AS4+AS7))</f>
        <v>17.543859649122805</v>
      </c>
      <c r="AU8" t="s">
        <v>144</v>
      </c>
      <c r="AV8">
        <f>AV5^2/(15*(0.01*AV4+AV7))</f>
        <v>17.543859649122805</v>
      </c>
      <c r="AX8" t="s">
        <v>144</v>
      </c>
      <c r="AY8">
        <f>AY5^2/(15*(0.01*AY4+AY7))</f>
        <v>17.543859649122805</v>
      </c>
      <c r="BA8" t="s">
        <v>144</v>
      </c>
      <c r="BB8">
        <f>BB5^2/(15*(0.01*BB4+BB7))</f>
        <v>17.543859649122805</v>
      </c>
      <c r="BD8" t="s">
        <v>144</v>
      </c>
      <c r="BE8">
        <f>BE5^2/(15*(0.01*BE4+BE7))</f>
        <v>17.543859649122805</v>
      </c>
      <c r="BG8" t="s">
        <v>144</v>
      </c>
      <c r="BH8">
        <f>BH5^2/(15*(0.01*BH4+BH7))</f>
        <v>17.543859649122805</v>
      </c>
    </row>
    <row r="9" spans="2:60" x14ac:dyDescent="0.25">
      <c r="B9" t="s">
        <v>145</v>
      </c>
      <c r="C9" t="e">
        <f>C6^2/(0.15*C4)</f>
        <v>#DIV/0!</v>
      </c>
      <c r="E9" t="s">
        <v>145</v>
      </c>
      <c r="F9" t="e">
        <f>F6^2/(0.15*F4)</f>
        <v>#DIV/0!</v>
      </c>
      <c r="H9" t="s">
        <v>145</v>
      </c>
      <c r="I9" t="e">
        <f>I6^2/(0.15*I4)</f>
        <v>#DIV/0!</v>
      </c>
      <c r="K9" t="s">
        <v>145</v>
      </c>
      <c r="L9" t="e">
        <f>L6^2/(0.15*L4)</f>
        <v>#DIV/0!</v>
      </c>
      <c r="N9" t="s">
        <v>145</v>
      </c>
      <c r="O9" t="e">
        <f>O6^2/(0.15*O4)</f>
        <v>#DIV/0!</v>
      </c>
      <c r="Q9" t="s">
        <v>145</v>
      </c>
      <c r="R9" t="e">
        <f>R6^2/(0.15*R4)</f>
        <v>#DIV/0!</v>
      </c>
      <c r="T9" t="s">
        <v>145</v>
      </c>
      <c r="U9" t="e">
        <f>U6^2/(0.15*U4)</f>
        <v>#DIV/0!</v>
      </c>
      <c r="W9" t="s">
        <v>145</v>
      </c>
      <c r="X9" t="e">
        <f>X6^2/(0.15*X4)</f>
        <v>#DIV/0!</v>
      </c>
      <c r="Z9" t="s">
        <v>145</v>
      </c>
      <c r="AA9" t="e">
        <f>AA6^2/(0.15*AA4)</f>
        <v>#DIV/0!</v>
      </c>
      <c r="AC9" t="s">
        <v>145</v>
      </c>
      <c r="AD9" t="e">
        <f>AD6^2/(0.15*AD4)</f>
        <v>#DIV/0!</v>
      </c>
      <c r="AF9" t="s">
        <v>145</v>
      </c>
      <c r="AG9" t="e">
        <f>AG6^2/(0.15*AG4)</f>
        <v>#DIV/0!</v>
      </c>
      <c r="AI9" t="s">
        <v>145</v>
      </c>
      <c r="AJ9" t="e">
        <f>AJ6^2/(0.15*AJ4)</f>
        <v>#DIV/0!</v>
      </c>
      <c r="AL9" t="s">
        <v>145</v>
      </c>
      <c r="AM9" t="e">
        <f>AM6^2/(0.15*AM4)</f>
        <v>#DIV/0!</v>
      </c>
      <c r="AO9" t="s">
        <v>145</v>
      </c>
      <c r="AP9" t="e">
        <f>AP6^2/(0.15*AP4)</f>
        <v>#DIV/0!</v>
      </c>
      <c r="AR9" t="s">
        <v>145</v>
      </c>
      <c r="AS9" t="e">
        <f>AS6^2/(0.15*AS4)</f>
        <v>#DIV/0!</v>
      </c>
      <c r="AU9" t="s">
        <v>145</v>
      </c>
      <c r="AV9" t="e">
        <f>AV6^2/(0.15*AV4)</f>
        <v>#DIV/0!</v>
      </c>
      <c r="AX9" t="s">
        <v>145</v>
      </c>
      <c r="AY9" t="e">
        <f>AY6^2/(0.15*AY4)</f>
        <v>#DIV/0!</v>
      </c>
      <c r="BA9" t="s">
        <v>145</v>
      </c>
      <c r="BB9" t="e">
        <f>BB6^2/(0.15*BB4)</f>
        <v>#DIV/0!</v>
      </c>
      <c r="BD9" t="s">
        <v>145</v>
      </c>
      <c r="BE9" t="e">
        <f>BE6^2/(0.15*BE4)</f>
        <v>#DIV/0!</v>
      </c>
      <c r="BG9" t="s">
        <v>145</v>
      </c>
      <c r="BH9" t="e">
        <f>BH6^2/(0.15*BH4)</f>
        <v>#DIV/0!</v>
      </c>
    </row>
    <row r="10" spans="2:60" x14ac:dyDescent="0.25">
      <c r="B10" t="s">
        <v>146</v>
      </c>
      <c r="C10">
        <f>0.01*C4*C5^2/C6^2-0.01*C4</f>
        <v>0</v>
      </c>
      <c r="E10" t="s">
        <v>146</v>
      </c>
      <c r="F10">
        <f>0.01*F4*F5^2/F6^2-0.01*F4</f>
        <v>0</v>
      </c>
      <c r="H10" t="s">
        <v>146</v>
      </c>
      <c r="I10">
        <f>0.01*I4*I5^2/I6^2-0.01*I4</f>
        <v>0</v>
      </c>
      <c r="K10" t="s">
        <v>146</v>
      </c>
      <c r="L10">
        <f>0.01*L4*L5^2/L6^2-0.01*L4</f>
        <v>0</v>
      </c>
      <c r="N10" t="s">
        <v>146</v>
      </c>
      <c r="O10">
        <f>0.01*O4*O5^2/O6^2-0.01*O4</f>
        <v>0</v>
      </c>
      <c r="Q10" t="s">
        <v>146</v>
      </c>
      <c r="R10">
        <f>0.01*R4*R5^2/R6^2-0.01*R4</f>
        <v>0</v>
      </c>
      <c r="T10" t="s">
        <v>146</v>
      </c>
      <c r="U10">
        <f>0.01*U4*U5^2/U6^2-0.01*U4</f>
        <v>0</v>
      </c>
      <c r="W10" t="s">
        <v>146</v>
      </c>
      <c r="X10">
        <f>0.01*X4*X5^2/X6^2-0.01*X4</f>
        <v>0</v>
      </c>
      <c r="Z10" t="s">
        <v>146</v>
      </c>
      <c r="AA10">
        <f>0.01*AA4*AA5^2/AA6^2-0.01*AA4</f>
        <v>0</v>
      </c>
      <c r="AC10" t="s">
        <v>146</v>
      </c>
      <c r="AD10">
        <f>0.01*AD4*AD5^2/AD6^2-0.01*AD4</f>
        <v>0</v>
      </c>
      <c r="AF10" t="s">
        <v>146</v>
      </c>
      <c r="AG10">
        <f>0.01*AG4*AG5^2/AG6^2-0.01*AG4</f>
        <v>0</v>
      </c>
      <c r="AI10" t="s">
        <v>146</v>
      </c>
      <c r="AJ10">
        <f>0.01*AJ4*AJ5^2/AJ6^2-0.01*AJ4</f>
        <v>0</v>
      </c>
      <c r="AL10" t="s">
        <v>146</v>
      </c>
      <c r="AM10">
        <f>0.01*AM4*AM5^2/AM6^2-0.01*AM4</f>
        <v>0</v>
      </c>
      <c r="AO10" t="s">
        <v>146</v>
      </c>
      <c r="AP10">
        <f>0.01*AP4*AP5^2/AP6^2-0.01*AP4</f>
        <v>0</v>
      </c>
      <c r="AR10" t="s">
        <v>146</v>
      </c>
      <c r="AS10">
        <f>0.01*AS4*AS5^2/AS6^2-0.01*AS4</f>
        <v>0</v>
      </c>
      <c r="AU10" t="s">
        <v>146</v>
      </c>
      <c r="AV10">
        <f>0.01*AV4*AV5^2/AV6^2-0.01*AV4</f>
        <v>0</v>
      </c>
      <c r="AX10" t="s">
        <v>146</v>
      </c>
      <c r="AY10">
        <f>0.01*AY4*AY5^2/AY6^2-0.01*AY4</f>
        <v>0</v>
      </c>
      <c r="BA10" t="s">
        <v>146</v>
      </c>
      <c r="BB10">
        <f>0.01*BB4*BB5^2/BB6^2-0.01*BB4</f>
        <v>0</v>
      </c>
      <c r="BD10" t="s">
        <v>146</v>
      </c>
      <c r="BE10">
        <f>0.01*BE4*BE5^2/BE6^2-0.01*BE4</f>
        <v>0</v>
      </c>
      <c r="BG10" t="s">
        <v>146</v>
      </c>
      <c r="BH10">
        <f>0.01*BH4*BH5^2/BH6^2-0.01*BH4</f>
        <v>0</v>
      </c>
    </row>
    <row r="11" spans="2:60" x14ac:dyDescent="0.25">
      <c r="B11" t="s">
        <v>147</v>
      </c>
      <c r="C11" t="e">
        <f>C10*C9/5729.58</f>
        <v>#DIV/0!</v>
      </c>
      <c r="E11" t="s">
        <v>147</v>
      </c>
      <c r="F11" t="e">
        <f>F10*F9/5729.58</f>
        <v>#DIV/0!</v>
      </c>
      <c r="H11" t="s">
        <v>147</v>
      </c>
      <c r="I11" t="e">
        <f>I10*I9/5729.58</f>
        <v>#DIV/0!</v>
      </c>
      <c r="K11" t="s">
        <v>147</v>
      </c>
      <c r="L11" t="e">
        <f>L10*L9/5729.58</f>
        <v>#DIV/0!</v>
      </c>
      <c r="N11" t="s">
        <v>147</v>
      </c>
      <c r="O11" t="e">
        <f>O10*O9/5729.58</f>
        <v>#DIV/0!</v>
      </c>
      <c r="Q11" t="s">
        <v>147</v>
      </c>
      <c r="R11" t="e">
        <f>R10*R9/5729.58</f>
        <v>#DIV/0!</v>
      </c>
      <c r="T11" t="s">
        <v>147</v>
      </c>
      <c r="U11" t="e">
        <f>U10*U9/5729.58</f>
        <v>#DIV/0!</v>
      </c>
      <c r="W11" t="s">
        <v>147</v>
      </c>
      <c r="X11" t="e">
        <f>X10*X9/5729.58</f>
        <v>#DIV/0!</v>
      </c>
      <c r="Z11" t="s">
        <v>147</v>
      </c>
      <c r="AA11" t="e">
        <f>AA10*AA9/5729.58</f>
        <v>#DIV/0!</v>
      </c>
      <c r="AC11" t="s">
        <v>147</v>
      </c>
      <c r="AD11" t="e">
        <f>AD10*AD9/5729.58</f>
        <v>#DIV/0!</v>
      </c>
      <c r="AF11" t="s">
        <v>147</v>
      </c>
      <c r="AG11" t="e">
        <f>AG10*AG9/5729.58</f>
        <v>#DIV/0!</v>
      </c>
      <c r="AI11" t="s">
        <v>147</v>
      </c>
      <c r="AJ11" t="e">
        <f>AJ10*AJ9/5729.58</f>
        <v>#DIV/0!</v>
      </c>
      <c r="AL11" t="s">
        <v>147</v>
      </c>
      <c r="AM11" t="e">
        <f>AM10*AM9/5729.58</f>
        <v>#DIV/0!</v>
      </c>
      <c r="AO11" t="s">
        <v>147</v>
      </c>
      <c r="AP11" t="e">
        <f>AP10*AP9/5729.58</f>
        <v>#DIV/0!</v>
      </c>
      <c r="AR11" t="s">
        <v>147</v>
      </c>
      <c r="AS11" t="e">
        <f>AS10*AS9/5729.58</f>
        <v>#DIV/0!</v>
      </c>
      <c r="AU11" t="s">
        <v>147</v>
      </c>
      <c r="AV11" t="e">
        <f>AV10*AV9/5729.58</f>
        <v>#DIV/0!</v>
      </c>
      <c r="AX11" t="s">
        <v>147</v>
      </c>
      <c r="AY11" t="e">
        <f>AY10*AY9/5729.58</f>
        <v>#DIV/0!</v>
      </c>
      <c r="BA11" t="s">
        <v>147</v>
      </c>
      <c r="BB11" t="e">
        <f>BB10*BB9/5729.58</f>
        <v>#DIV/0!</v>
      </c>
      <c r="BD11" t="s">
        <v>147</v>
      </c>
      <c r="BE11" t="e">
        <f>BE10*BE9/5729.58</f>
        <v>#DIV/0!</v>
      </c>
      <c r="BG11" t="s">
        <v>147</v>
      </c>
      <c r="BH11" t="e">
        <f>BH10*BH9/5729.58</f>
        <v>#DIV/0!</v>
      </c>
    </row>
    <row r="12" spans="2:60" x14ac:dyDescent="0.25">
      <c r="B12" t="s">
        <v>148</v>
      </c>
      <c r="C12" t="e">
        <f>(C7-C10)/(5729.58*(1/C8-1/C9))</f>
        <v>#DIV/0!</v>
      </c>
      <c r="E12" t="s">
        <v>148</v>
      </c>
      <c r="F12" t="e">
        <f>(F7-F10)/(5729.58*(1/F8-1/F9))</f>
        <v>#DIV/0!</v>
      </c>
      <c r="H12" t="s">
        <v>148</v>
      </c>
      <c r="I12" t="e">
        <f>(I7-I10)/(5729.58*(1/I8-1/I9))</f>
        <v>#DIV/0!</v>
      </c>
      <c r="K12" t="s">
        <v>148</v>
      </c>
      <c r="L12" t="e">
        <f>(L7-L10)/(5729.58*(1/L8-1/L9))</f>
        <v>#DIV/0!</v>
      </c>
      <c r="N12" t="s">
        <v>148</v>
      </c>
      <c r="O12" t="e">
        <f>(O7-O10)/(5729.58*(1/O8-1/O9))</f>
        <v>#DIV/0!</v>
      </c>
      <c r="Q12" t="s">
        <v>148</v>
      </c>
      <c r="R12" t="e">
        <f>(R7-R10)/(5729.58*(1/R8-1/R9))</f>
        <v>#DIV/0!</v>
      </c>
      <c r="T12" t="s">
        <v>148</v>
      </c>
      <c r="U12" t="e">
        <f>(U7-U10)/(5729.58*(1/U8-1/U9))</f>
        <v>#DIV/0!</v>
      </c>
      <c r="W12" t="s">
        <v>148</v>
      </c>
      <c r="X12" t="e">
        <f>(X7-X10)/(5729.58*(1/X8-1/X9))</f>
        <v>#DIV/0!</v>
      </c>
      <c r="Z12" t="s">
        <v>148</v>
      </c>
      <c r="AA12" t="e">
        <f>(AA7-AA10)/(5729.58*(1/AA8-1/AA9))</f>
        <v>#DIV/0!</v>
      </c>
      <c r="AC12" t="s">
        <v>148</v>
      </c>
      <c r="AD12" t="e">
        <f>(AD7-AD10)/(5729.58*(1/AD8-1/AD9))</f>
        <v>#DIV/0!</v>
      </c>
      <c r="AF12" t="s">
        <v>148</v>
      </c>
      <c r="AG12" t="e">
        <f>(AG7-AG10)/(5729.58*(1/AG8-1/AG9))</f>
        <v>#DIV/0!</v>
      </c>
      <c r="AI12" t="s">
        <v>148</v>
      </c>
      <c r="AJ12" t="e">
        <f>(AJ7-AJ10)/(5729.58*(1/AJ8-1/AJ9))</f>
        <v>#DIV/0!</v>
      </c>
      <c r="AL12" t="s">
        <v>148</v>
      </c>
      <c r="AM12" t="e">
        <f>(AM7-AM10)/(5729.58*(1/AM8-1/AM9))</f>
        <v>#DIV/0!</v>
      </c>
      <c r="AO12" t="s">
        <v>148</v>
      </c>
      <c r="AP12" t="e">
        <f>(AP7-AP10)/(5729.58*(1/AP8-1/AP9))</f>
        <v>#DIV/0!</v>
      </c>
      <c r="AR12" t="s">
        <v>148</v>
      </c>
      <c r="AS12" t="e">
        <f>(AS7-AS10)/(5729.58*(1/AS8-1/AS9))</f>
        <v>#DIV/0!</v>
      </c>
      <c r="AU12" t="s">
        <v>148</v>
      </c>
      <c r="AV12" t="e">
        <f>(AV7-AV10)/(5729.58*(1/AV8-1/AV9))</f>
        <v>#DIV/0!</v>
      </c>
      <c r="AX12" t="s">
        <v>148</v>
      </c>
      <c r="AY12" t="e">
        <f>(AY7-AY10)/(5729.58*(1/AY8-1/AY9))</f>
        <v>#DIV/0!</v>
      </c>
      <c r="BA12" t="s">
        <v>148</v>
      </c>
      <c r="BB12" t="e">
        <f>(BB7-BB10)/(5729.58*(1/BB8-1/BB9))</f>
        <v>#DIV/0!</v>
      </c>
      <c r="BD12" t="s">
        <v>148</v>
      </c>
      <c r="BE12" t="e">
        <f>(BE7-BE10)/(5729.58*(1/BE8-1/BE9))</f>
        <v>#DIV/0!</v>
      </c>
      <c r="BG12" t="s">
        <v>148</v>
      </c>
      <c r="BH12" t="e">
        <f>(BH7-BH10)/(5729.58*(1/BH8-1/BH9))</f>
        <v>#DIV/0!</v>
      </c>
    </row>
    <row r="13" spans="2:60" x14ac:dyDescent="0.25">
      <c r="B13" t="s">
        <v>149</v>
      </c>
      <c r="C13" t="e">
        <f>5729.58/C9*(1/C8-1/C9)*(C12-C11)/2*C8</f>
        <v>#DIV/0!</v>
      </c>
      <c r="E13" t="s">
        <v>149</v>
      </c>
      <c r="F13" t="e">
        <f>5729.58/F9*(1/F8-1/F9)*(F12-F11)/2*F8</f>
        <v>#DIV/0!</v>
      </c>
      <c r="H13" t="s">
        <v>149</v>
      </c>
      <c r="I13" t="e">
        <f>5729.58/I9*(1/I8-1/I9)*(I12-I11)/2*I8</f>
        <v>#DIV/0!</v>
      </c>
      <c r="K13" t="s">
        <v>149</v>
      </c>
      <c r="L13" t="e">
        <f>5729.58/L9*(1/L8-1/L9)*(L12-L11)/2*L8</f>
        <v>#DIV/0!</v>
      </c>
      <c r="N13" t="s">
        <v>149</v>
      </c>
      <c r="O13" t="e">
        <f>5729.58/O9*(1/O8-1/O9)*(O12-O11)/2*O8</f>
        <v>#DIV/0!</v>
      </c>
      <c r="Q13" t="s">
        <v>149</v>
      </c>
      <c r="R13" t="e">
        <f>5729.58/R9*(1/R8-1/R9)*(R12-R11)/2*R8</f>
        <v>#DIV/0!</v>
      </c>
      <c r="T13" t="s">
        <v>149</v>
      </c>
      <c r="U13" t="e">
        <f>5729.58/U9*(1/U8-1/U9)*(U12-U11)/2*U8</f>
        <v>#DIV/0!</v>
      </c>
      <c r="W13" t="s">
        <v>149</v>
      </c>
      <c r="X13" t="e">
        <f>5729.58/X9*(1/X8-1/X9)*(X12-X11)/2*X8</f>
        <v>#DIV/0!</v>
      </c>
      <c r="Z13" t="s">
        <v>149</v>
      </c>
      <c r="AA13" t="e">
        <f>5729.58/AA9*(1/AA8-1/AA9)*(AA12-AA11)/2*AA8</f>
        <v>#DIV/0!</v>
      </c>
      <c r="AC13" t="s">
        <v>149</v>
      </c>
      <c r="AD13" t="e">
        <f>5729.58/AD9*(1/AD8-1/AD9)*(AD12-AD11)/2*AD8</f>
        <v>#DIV/0!</v>
      </c>
      <c r="AF13" t="s">
        <v>149</v>
      </c>
      <c r="AG13" t="e">
        <f>5729.58/AG9*(1/AG8-1/AG9)*(AG12-AG11)/2*AG8</f>
        <v>#DIV/0!</v>
      </c>
      <c r="AI13" t="s">
        <v>149</v>
      </c>
      <c r="AJ13" t="e">
        <f>5729.58/AJ9*(1/AJ8-1/AJ9)*(AJ12-AJ11)/2*AJ8</f>
        <v>#DIV/0!</v>
      </c>
      <c r="AL13" t="s">
        <v>149</v>
      </c>
      <c r="AM13" t="e">
        <f>5729.58/AM9*(1/AM8-1/AM9)*(AM12-AM11)/2*AM8</f>
        <v>#DIV/0!</v>
      </c>
      <c r="AO13" t="s">
        <v>149</v>
      </c>
      <c r="AP13" t="e">
        <f>5729.58/AP9*(1/AP8-1/AP9)*(AP12-AP11)/2*AP8</f>
        <v>#DIV/0!</v>
      </c>
      <c r="AR13" t="s">
        <v>149</v>
      </c>
      <c r="AS13" t="e">
        <f>5729.58/AS9*(1/AS8-1/AS9)*(AS12-AS11)/2*AS8</f>
        <v>#DIV/0!</v>
      </c>
      <c r="AU13" t="s">
        <v>149</v>
      </c>
      <c r="AV13" t="e">
        <f>5729.58/AV9*(1/AV8-1/AV9)*(AV12-AV11)/2*AV8</f>
        <v>#DIV/0!</v>
      </c>
      <c r="AX13" t="s">
        <v>149</v>
      </c>
      <c r="AY13" t="e">
        <f>5729.58/AY9*(1/AY8-1/AY9)*(AY12-AY11)/2*AY8</f>
        <v>#DIV/0!</v>
      </c>
      <c r="BA13" t="s">
        <v>149</v>
      </c>
      <c r="BB13" t="e">
        <f>5729.58/BB9*(1/BB8-1/BB9)*(BB12-BB11)/2*BB8</f>
        <v>#DIV/0!</v>
      </c>
      <c r="BD13" t="s">
        <v>149</v>
      </c>
      <c r="BE13" t="e">
        <f>5729.58/BE9*(1/BE8-1/BE9)*(BE12-BE11)/2*BE8</f>
        <v>#DIV/0!</v>
      </c>
      <c r="BG13" t="s">
        <v>149</v>
      </c>
      <c r="BH13" t="e">
        <f>5729.58/BH9*(1/BH8-1/BH9)*(BH12-BH11)/2*BH8</f>
        <v>#DIV/0!</v>
      </c>
    </row>
    <row r="14" spans="2:60" x14ac:dyDescent="0.25">
      <c r="B14" t="s">
        <v>150</v>
      </c>
      <c r="C14" t="e">
        <f>1/C3</f>
        <v>#DIV/0!</v>
      </c>
      <c r="E14" t="s">
        <v>150</v>
      </c>
      <c r="F14" t="e">
        <f>1/F3</f>
        <v>#DIV/0!</v>
      </c>
      <c r="H14" t="s">
        <v>150</v>
      </c>
      <c r="I14">
        <f>1/I3</f>
        <v>4.5454545454545455E-4</v>
      </c>
      <c r="K14" t="s">
        <v>150</v>
      </c>
      <c r="L14">
        <f>1/L3</f>
        <v>4.5454545454545455E-4</v>
      </c>
      <c r="N14" t="s">
        <v>150</v>
      </c>
      <c r="O14">
        <f>1/O3</f>
        <v>4.4444444444444447E-4</v>
      </c>
      <c r="Q14" t="s">
        <v>150</v>
      </c>
      <c r="R14">
        <f>1/R3</f>
        <v>4.4444444444444447E-4</v>
      </c>
      <c r="T14" t="s">
        <v>150</v>
      </c>
      <c r="U14">
        <f>1/U3</f>
        <v>3.3333333333333332E-4</v>
      </c>
      <c r="W14" t="s">
        <v>150</v>
      </c>
      <c r="X14">
        <f>1/X3</f>
        <v>3.3333333333333332E-4</v>
      </c>
      <c r="Z14" t="s">
        <v>150</v>
      </c>
      <c r="AA14">
        <f>1/AA3</f>
        <v>3.2786885245901639E-4</v>
      </c>
      <c r="AC14" t="s">
        <v>150</v>
      </c>
      <c r="AD14">
        <f>1/AD3</f>
        <v>3.2786885245901639E-4</v>
      </c>
      <c r="AF14" t="s">
        <v>150</v>
      </c>
      <c r="AG14" t="e">
        <f>1/AG3</f>
        <v>#DIV/0!</v>
      </c>
      <c r="AI14" t="s">
        <v>150</v>
      </c>
      <c r="AJ14" t="e">
        <f>1/AJ3</f>
        <v>#DIV/0!</v>
      </c>
      <c r="AL14" t="s">
        <v>150</v>
      </c>
      <c r="AM14" t="e">
        <f>1/AM3</f>
        <v>#DIV/0!</v>
      </c>
      <c r="AO14" t="s">
        <v>150</v>
      </c>
      <c r="AP14" t="e">
        <f>1/AP3</f>
        <v>#DIV/0!</v>
      </c>
      <c r="AR14" t="s">
        <v>150</v>
      </c>
      <c r="AS14" t="e">
        <f>1/AS3</f>
        <v>#DIV/0!</v>
      </c>
      <c r="AU14" t="s">
        <v>150</v>
      </c>
      <c r="AV14" t="e">
        <f>1/AV3</f>
        <v>#DIV/0!</v>
      </c>
      <c r="AX14" t="s">
        <v>150</v>
      </c>
      <c r="AY14" t="e">
        <f>1/AY3</f>
        <v>#DIV/0!</v>
      </c>
      <c r="BA14" t="s">
        <v>150</v>
      </c>
      <c r="BB14" t="e">
        <f>1/BB3</f>
        <v>#DIV/0!</v>
      </c>
      <c r="BD14" t="s">
        <v>150</v>
      </c>
      <c r="BE14" t="e">
        <f>1/BE3</f>
        <v>#DIV/0!</v>
      </c>
      <c r="BG14" t="s">
        <v>150</v>
      </c>
      <c r="BH14" t="e">
        <f>1/BH3</f>
        <v>#DIV/0!</v>
      </c>
    </row>
    <row r="15" spans="2:60" x14ac:dyDescent="0.25">
      <c r="B15" t="s">
        <v>151</v>
      </c>
      <c r="C15" t="e">
        <f>1/C9</f>
        <v>#DIV/0!</v>
      </c>
      <c r="E15" t="s">
        <v>151</v>
      </c>
      <c r="F15" t="e">
        <f>1/F9</f>
        <v>#DIV/0!</v>
      </c>
      <c r="H15" t="s">
        <v>151</v>
      </c>
      <c r="I15" t="e">
        <f>1/I9</f>
        <v>#DIV/0!</v>
      </c>
      <c r="K15" t="s">
        <v>151</v>
      </c>
      <c r="L15" t="e">
        <f>1/L9</f>
        <v>#DIV/0!</v>
      </c>
      <c r="N15" t="s">
        <v>151</v>
      </c>
      <c r="O15" t="e">
        <f>1/O9</f>
        <v>#DIV/0!</v>
      </c>
      <c r="Q15" t="s">
        <v>151</v>
      </c>
      <c r="R15" t="e">
        <f>1/R9</f>
        <v>#DIV/0!</v>
      </c>
      <c r="T15" t="s">
        <v>151</v>
      </c>
      <c r="U15" t="e">
        <f>1/U9</f>
        <v>#DIV/0!</v>
      </c>
      <c r="W15" t="s">
        <v>151</v>
      </c>
      <c r="X15" t="e">
        <f>1/X9</f>
        <v>#DIV/0!</v>
      </c>
      <c r="Z15" t="s">
        <v>151</v>
      </c>
      <c r="AA15" t="e">
        <f>1/AA9</f>
        <v>#DIV/0!</v>
      </c>
      <c r="AC15" t="s">
        <v>151</v>
      </c>
      <c r="AD15" t="e">
        <f>1/AD9</f>
        <v>#DIV/0!</v>
      </c>
      <c r="AF15" t="s">
        <v>151</v>
      </c>
      <c r="AG15" t="e">
        <f>1/AG9</f>
        <v>#DIV/0!</v>
      </c>
      <c r="AI15" t="s">
        <v>151</v>
      </c>
      <c r="AJ15" t="e">
        <f>1/AJ9</f>
        <v>#DIV/0!</v>
      </c>
      <c r="AL15" t="s">
        <v>151</v>
      </c>
      <c r="AM15" t="e">
        <f>1/AM9</f>
        <v>#DIV/0!</v>
      </c>
      <c r="AO15" t="s">
        <v>151</v>
      </c>
      <c r="AP15" t="e">
        <f>1/AP9</f>
        <v>#DIV/0!</v>
      </c>
      <c r="AR15" t="s">
        <v>151</v>
      </c>
      <c r="AS15" t="e">
        <f>1/AS9</f>
        <v>#DIV/0!</v>
      </c>
      <c r="AU15" t="s">
        <v>151</v>
      </c>
      <c r="AV15" t="e">
        <f>1/AV9</f>
        <v>#DIV/0!</v>
      </c>
      <c r="AX15" t="s">
        <v>151</v>
      </c>
      <c r="AY15" t="e">
        <f>1/AY9</f>
        <v>#DIV/0!</v>
      </c>
      <c r="BA15" t="s">
        <v>151</v>
      </c>
      <c r="BB15" t="e">
        <f>1/BB9</f>
        <v>#DIV/0!</v>
      </c>
      <c r="BD15" t="s">
        <v>151</v>
      </c>
      <c r="BE15" t="e">
        <f>1/BE9</f>
        <v>#DIV/0!</v>
      </c>
      <c r="BG15" t="s">
        <v>151</v>
      </c>
      <c r="BH15" t="e">
        <f>1/BH9</f>
        <v>#DIV/0!</v>
      </c>
    </row>
    <row r="16" spans="2:60" x14ac:dyDescent="0.25">
      <c r="B16" t="s">
        <v>152</v>
      </c>
      <c r="C16" t="e">
        <f>IF(C14&lt;=C15,C13*(C9/C3)^2+5729.58*C11/C3,C13*((1/C8-1/C3)/(1/C8-1/C9))^2+C10+5729.58*C12*(1/C3-1/C9))</f>
        <v>#DIV/0!</v>
      </c>
      <c r="E16" t="s">
        <v>152</v>
      </c>
      <c r="F16" t="e">
        <f>IF(F14&lt;=F15,F13*(F9/F3)^2+5729.58*F11/F3,F13*((1/F8-1/F3)/(1/F8-1/F9))^2+F10+5729.58*F12*(1/F3-1/F9))</f>
        <v>#DIV/0!</v>
      </c>
      <c r="H16" t="s">
        <v>152</v>
      </c>
      <c r="I16" t="e">
        <f>IF(I14&lt;=I15,I13*(I9/I3)^2+5729.58*I11/I3,I13*((1/I8-1/I3)/(1/I8-1/I9))^2+I10+5729.58*I12*(1/I3-1/I9))</f>
        <v>#DIV/0!</v>
      </c>
      <c r="K16" t="s">
        <v>152</v>
      </c>
      <c r="L16" t="e">
        <f>IF(L14&lt;=L15,L13*(L9/L3)^2+5729.58*L11/L3,L13*((1/L8-1/L3)/(1/L8-1/L9))^2+L10+5729.58*L12*(1/L3-1/L9))</f>
        <v>#DIV/0!</v>
      </c>
      <c r="N16" t="s">
        <v>152</v>
      </c>
      <c r="O16" t="e">
        <f>IF(O14&lt;=O15,O13*(O9/O3)^2+5729.58*O11/O3,O13*((1/O8-1/O3)/(1/O8-1/O9))^2+O10+5729.58*O12*(1/O3-1/O9))</f>
        <v>#DIV/0!</v>
      </c>
      <c r="Q16" t="s">
        <v>152</v>
      </c>
      <c r="R16" t="e">
        <f>IF(R14&lt;=R15,R13*(R9/R3)^2+5729.58*R11/R3,R13*((1/R8-1/R3)/(1/R8-1/R9))^2+R10+5729.58*R12*(1/R3-1/R9))</f>
        <v>#DIV/0!</v>
      </c>
      <c r="T16" t="s">
        <v>152</v>
      </c>
      <c r="U16" t="e">
        <f>IF(U14&lt;=U15,U13*(U9/U3)^2+5729.58*U11/U3,U13*((1/U8-1/U3)/(1/U8-1/U9))^2+U10+5729.58*U12*(1/U3-1/U9))</f>
        <v>#DIV/0!</v>
      </c>
      <c r="W16" t="s">
        <v>152</v>
      </c>
      <c r="X16" t="e">
        <f>IF(X14&lt;=X15,X13*(X9/X3)^2+5729.58*X11/X3,X13*((1/X8-1/X3)/(1/X8-1/X9))^2+X10+5729.58*X12*(1/X3-1/X9))</f>
        <v>#DIV/0!</v>
      </c>
      <c r="Z16" t="s">
        <v>152</v>
      </c>
      <c r="AA16" t="e">
        <f>IF(AA14&lt;=AA15,AA13*(AA9/AA3)^2+5729.58*AA11/AA3,AA13*((1/AA8-1/AA3)/(1/AA8-1/AA9))^2+AA10+5729.58*AA12*(1/AA3-1/AA9))</f>
        <v>#DIV/0!</v>
      </c>
      <c r="AC16" t="s">
        <v>152</v>
      </c>
      <c r="AD16" t="e">
        <f>IF(AD14&lt;=AD15,AD13*(AD9/AD3)^2+5729.58*AD11/AD3,AD13*((1/AD8-1/AD3)/(1/AD8-1/AD9))^2+AD10+5729.58*AD12*(1/AD3-1/AD9))</f>
        <v>#DIV/0!</v>
      </c>
      <c r="AF16" t="s">
        <v>152</v>
      </c>
      <c r="AG16" t="e">
        <f>IF(AG14&lt;=AG15,AG13*(AG9/AG3)^2+5729.58*AG11/AG3,AG13*((1/AG8-1/AG3)/(1/AG8-1/AG9))^2+AG10+5729.58*AG12*(1/AG3-1/AG9))</f>
        <v>#DIV/0!</v>
      </c>
      <c r="AI16" t="s">
        <v>152</v>
      </c>
      <c r="AJ16" t="e">
        <f>IF(AJ14&lt;=AJ15,AJ13*(AJ9/AJ3)^2+5729.58*AJ11/AJ3,AJ13*((1/AJ8-1/AJ3)/(1/AJ8-1/AJ9))^2+AJ10+5729.58*AJ12*(1/AJ3-1/AJ9))</f>
        <v>#DIV/0!</v>
      </c>
      <c r="AL16" t="s">
        <v>152</v>
      </c>
      <c r="AM16" t="e">
        <f>IF(AM14&lt;=AM15,AM13*(AM9/AM3)^2+5729.58*AM11/AM3,AM13*((1/AM8-1/AM3)/(1/AM8-1/AM9))^2+AM10+5729.58*AM12*(1/AM3-1/AM9))</f>
        <v>#DIV/0!</v>
      </c>
      <c r="AO16" t="s">
        <v>152</v>
      </c>
      <c r="AP16" t="e">
        <f>IF(AP14&lt;=AP15,AP13*(AP9/AP3)^2+5729.58*AP11/AP3,AP13*((1/AP8-1/AP3)/(1/AP8-1/AP9))^2+AP10+5729.58*AP12*(1/AP3-1/AP9))</f>
        <v>#DIV/0!</v>
      </c>
      <c r="AR16" t="s">
        <v>152</v>
      </c>
      <c r="AS16" t="e">
        <f>IF(AS14&lt;=AS15,AS13*(AS9/AS3)^2+5729.58*AS11/AS3,AS13*((1/AS8-1/AS3)/(1/AS8-1/AS9))^2+AS10+5729.58*AS12*(1/AS3-1/AS9))</f>
        <v>#DIV/0!</v>
      </c>
      <c r="AU16" t="s">
        <v>152</v>
      </c>
      <c r="AV16" t="e">
        <f>IF(AV14&lt;=AV15,AV13*(AV9/AV3)^2+5729.58*AV11/AV3,AV13*((1/AV8-1/AV3)/(1/AV8-1/AV9))^2+AV10+5729.58*AV12*(1/AV3-1/AV9))</f>
        <v>#DIV/0!</v>
      </c>
      <c r="AX16" t="s">
        <v>152</v>
      </c>
      <c r="AY16" t="e">
        <f>IF(AY14&lt;=AY15,AY13*(AY9/AY3)^2+5729.58*AY11/AY3,AY13*((1/AY8-1/AY3)/(1/AY8-1/AY9))^2+AY10+5729.58*AY12*(1/AY3-1/AY9))</f>
        <v>#DIV/0!</v>
      </c>
      <c r="BA16" t="s">
        <v>152</v>
      </c>
      <c r="BB16" t="e">
        <f>IF(BB14&lt;=BB15,BB13*(BB9/BB3)^2+5729.58*BB11/BB3,BB13*((1/BB8-1/BB3)/(1/BB8-1/BB9))^2+BB10+5729.58*BB12*(1/BB3-1/BB9))</f>
        <v>#DIV/0!</v>
      </c>
      <c r="BD16" t="s">
        <v>152</v>
      </c>
      <c r="BE16" t="e">
        <f>IF(BE14&lt;=BE15,BE13*(BE9/BE3)^2+5729.58*BE11/BE3,BE13*((1/BE8-1/BE3)/(1/BE8-1/BE9))^2+BE10+5729.58*BE12*(1/BE3-1/BE9))</f>
        <v>#DIV/0!</v>
      </c>
      <c r="BG16" t="s">
        <v>152</v>
      </c>
      <c r="BH16" t="e">
        <f>IF(BH14&lt;=BH15,BH13*(BH9/BH3)^2+5729.58*BH11/BH3,BH13*((1/BH8-1/BH3)/(1/BH8-1/BH9))^2+BH10+5729.58*BH12*(1/BH3-1/BH9))</f>
        <v>#DIV/0!</v>
      </c>
    </row>
    <row r="17" spans="2:60" x14ac:dyDescent="0.25">
      <c r="B17" t="s">
        <v>154</v>
      </c>
      <c r="C17" t="e">
        <f>(C5^2/(15*C3)-C16)*100</f>
        <v>#DIV/0!</v>
      </c>
      <c r="E17" t="s">
        <v>154</v>
      </c>
      <c r="F17" t="e">
        <f>(F5^2/(15*F3)-F16)*100</f>
        <v>#DIV/0!</v>
      </c>
      <c r="H17" t="s">
        <v>154</v>
      </c>
      <c r="I17" t="e">
        <f>(I5^2/(15*I3)-I16)*100</f>
        <v>#DIV/0!</v>
      </c>
      <c r="K17" t="s">
        <v>154</v>
      </c>
      <c r="L17" t="e">
        <f>(L5^2/(15*L3)-L16)*100</f>
        <v>#DIV/0!</v>
      </c>
      <c r="N17" t="s">
        <v>154</v>
      </c>
      <c r="O17" t="e">
        <f>(O5^2/(15*O3)-O16)*100</f>
        <v>#DIV/0!</v>
      </c>
      <c r="Q17" t="s">
        <v>154</v>
      </c>
      <c r="R17" t="e">
        <f>(R5^2/(15*R3)-R16)*100</f>
        <v>#DIV/0!</v>
      </c>
      <c r="T17" t="s">
        <v>154</v>
      </c>
      <c r="U17" t="e">
        <f>(U5^2/(15*U3)-U16)*100</f>
        <v>#DIV/0!</v>
      </c>
      <c r="W17" t="s">
        <v>154</v>
      </c>
      <c r="X17" t="e">
        <f>(X5^2/(15*X3)-X16)*100</f>
        <v>#DIV/0!</v>
      </c>
      <c r="Z17" t="s">
        <v>154</v>
      </c>
      <c r="AA17" t="e">
        <f>(AA5^2/(15*AA3)-AA16)*100</f>
        <v>#DIV/0!</v>
      </c>
      <c r="AC17" t="s">
        <v>154</v>
      </c>
      <c r="AD17" t="e">
        <f>(AD5^2/(15*AD3)-AD16)*100</f>
        <v>#DIV/0!</v>
      </c>
      <c r="AF17" t="s">
        <v>154</v>
      </c>
      <c r="AG17" t="e">
        <f>(AG5^2/(15*AG3)-AG16)*100</f>
        <v>#DIV/0!</v>
      </c>
      <c r="AI17" t="s">
        <v>154</v>
      </c>
      <c r="AJ17" t="e">
        <f>(AJ5^2/(15*AJ3)-AJ16)*100</f>
        <v>#DIV/0!</v>
      </c>
      <c r="AL17" t="s">
        <v>154</v>
      </c>
      <c r="AM17" t="e">
        <f>(AM5^2/(15*AM3)-AM16)*100</f>
        <v>#DIV/0!</v>
      </c>
      <c r="AO17" t="s">
        <v>154</v>
      </c>
      <c r="AP17" t="e">
        <f>(AP5^2/(15*AP3)-AP16)*100</f>
        <v>#DIV/0!</v>
      </c>
      <c r="AR17" t="s">
        <v>154</v>
      </c>
      <c r="AS17" t="e">
        <f>(AS5^2/(15*AS3)-AS16)*100</f>
        <v>#DIV/0!</v>
      </c>
      <c r="AU17" t="s">
        <v>154</v>
      </c>
      <c r="AV17" t="e">
        <f>(AV5^2/(15*AV3)-AV16)*100</f>
        <v>#DIV/0!</v>
      </c>
      <c r="AX17" t="s">
        <v>154</v>
      </c>
      <c r="AY17" t="e">
        <f>(AY5^2/(15*AY3)-AY16)*100</f>
        <v>#DIV/0!</v>
      </c>
      <c r="BA17" t="s">
        <v>154</v>
      </c>
      <c r="BB17" t="e">
        <f>(BB5^2/(15*BB3)-BB16)*100</f>
        <v>#DIV/0!</v>
      </c>
      <c r="BD17" t="s">
        <v>154</v>
      </c>
      <c r="BE17" t="e">
        <f>(BE5^2/(15*BE3)-BE16)*100</f>
        <v>#DIV/0!</v>
      </c>
      <c r="BG17" t="s">
        <v>154</v>
      </c>
      <c r="BH17" t="e">
        <f>(BH5^2/(15*BH3)-BH16)*100</f>
        <v>#DIV/0!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BH17"/>
  <sheetViews>
    <sheetView workbookViewId="0"/>
  </sheetViews>
  <sheetFormatPr defaultRowHeight="15" x14ac:dyDescent="0.25"/>
  <sheetData>
    <row r="1" spans="2:60" x14ac:dyDescent="0.25">
      <c r="B1" t="s">
        <v>68</v>
      </c>
      <c r="C1" t="s">
        <v>281</v>
      </c>
      <c r="E1" t="s">
        <v>68</v>
      </c>
      <c r="F1" t="s">
        <v>282</v>
      </c>
      <c r="H1" t="s">
        <v>69</v>
      </c>
      <c r="I1" t="s">
        <v>281</v>
      </c>
      <c r="K1" t="s">
        <v>69</v>
      </c>
      <c r="L1" t="s">
        <v>282</v>
      </c>
      <c r="N1" t="s">
        <v>80</v>
      </c>
      <c r="O1" t="s">
        <v>281</v>
      </c>
      <c r="Q1" t="s">
        <v>80</v>
      </c>
      <c r="R1" t="s">
        <v>282</v>
      </c>
      <c r="T1" t="s">
        <v>161</v>
      </c>
      <c r="U1" t="s">
        <v>281</v>
      </c>
      <c r="W1" t="s">
        <v>161</v>
      </c>
      <c r="X1" t="s">
        <v>282</v>
      </c>
      <c r="Z1" t="s">
        <v>238</v>
      </c>
      <c r="AA1" t="s">
        <v>281</v>
      </c>
      <c r="AC1" t="s">
        <v>238</v>
      </c>
      <c r="AD1" t="s">
        <v>282</v>
      </c>
      <c r="AF1" t="s">
        <v>239</v>
      </c>
      <c r="AG1" t="s">
        <v>281</v>
      </c>
      <c r="AI1" t="s">
        <v>239</v>
      </c>
      <c r="AJ1" t="s">
        <v>282</v>
      </c>
      <c r="AL1" t="s">
        <v>240</v>
      </c>
      <c r="AM1" t="s">
        <v>281</v>
      </c>
      <c r="AO1" t="s">
        <v>240</v>
      </c>
      <c r="AP1" t="s">
        <v>282</v>
      </c>
      <c r="AR1" t="s">
        <v>241</v>
      </c>
      <c r="AS1" t="s">
        <v>281</v>
      </c>
      <c r="AU1" t="s">
        <v>241</v>
      </c>
      <c r="AV1" t="s">
        <v>282</v>
      </c>
      <c r="AX1" t="s">
        <v>242</v>
      </c>
      <c r="AY1" t="s">
        <v>281</v>
      </c>
      <c r="BA1" t="s">
        <v>242</v>
      </c>
      <c r="BB1" t="s">
        <v>282</v>
      </c>
      <c r="BD1" t="s">
        <v>243</v>
      </c>
      <c r="BE1" t="s">
        <v>281</v>
      </c>
      <c r="BG1" t="s">
        <v>243</v>
      </c>
      <c r="BH1" t="s">
        <v>282</v>
      </c>
    </row>
    <row r="2" spans="2:60" x14ac:dyDescent="0.25">
      <c r="B2" t="s">
        <v>140</v>
      </c>
      <c r="C2">
        <f>'R4UD_Project'!$M$17</f>
        <v>65</v>
      </c>
      <c r="E2" t="s">
        <v>140</v>
      </c>
      <c r="F2">
        <f>'R4UD_Project'!$M$17</f>
        <v>65</v>
      </c>
      <c r="H2" t="s">
        <v>140</v>
      </c>
      <c r="I2">
        <f>'R4UD_Project'!$M$17</f>
        <v>65</v>
      </c>
      <c r="K2" t="s">
        <v>140</v>
      </c>
      <c r="L2">
        <f>'R4UD_Project'!$M$17</f>
        <v>65</v>
      </c>
      <c r="N2" t="s">
        <v>140</v>
      </c>
      <c r="O2">
        <f>'R4UD_Project'!$M$17</f>
        <v>65</v>
      </c>
      <c r="Q2" t="s">
        <v>140</v>
      </c>
      <c r="R2">
        <f>'R4UD_Project'!$M$17</f>
        <v>65</v>
      </c>
      <c r="T2" t="s">
        <v>140</v>
      </c>
      <c r="U2">
        <f>'R4UD_Project'!$M$17</f>
        <v>65</v>
      </c>
      <c r="W2" t="s">
        <v>140</v>
      </c>
      <c r="X2">
        <f>'R4UD_Project'!$M$17</f>
        <v>65</v>
      </c>
      <c r="Z2" t="s">
        <v>140</v>
      </c>
      <c r="AA2">
        <f>'R4UD_Project'!$M$17</f>
        <v>65</v>
      </c>
      <c r="AC2" t="s">
        <v>140</v>
      </c>
      <c r="AD2">
        <f>'R4UD_Project'!$M$17</f>
        <v>65</v>
      </c>
      <c r="AF2" t="s">
        <v>140</v>
      </c>
      <c r="AG2">
        <f>'R4UD_Project'!$M$17</f>
        <v>65</v>
      </c>
      <c r="AI2" t="s">
        <v>140</v>
      </c>
      <c r="AJ2">
        <f>'R4UD_Project'!$M$17</f>
        <v>65</v>
      </c>
      <c r="AL2" t="s">
        <v>140</v>
      </c>
      <c r="AM2">
        <f>'R4UD_Project'!$M$17</f>
        <v>65</v>
      </c>
      <c r="AO2" t="s">
        <v>140</v>
      </c>
      <c r="AP2">
        <f>'R4UD_Project'!$M$17</f>
        <v>65</v>
      </c>
      <c r="AR2" t="s">
        <v>140</v>
      </c>
      <c r="AS2">
        <f>'R4UD_Project'!$M$17</f>
        <v>65</v>
      </c>
      <c r="AU2" t="s">
        <v>140</v>
      </c>
      <c r="AV2">
        <f>'R4UD_Project'!$M$17</f>
        <v>65</v>
      </c>
      <c r="AX2" t="s">
        <v>140</v>
      </c>
      <c r="AY2">
        <f>'R4UD_Project'!$M$17</f>
        <v>65</v>
      </c>
      <c r="BA2" t="s">
        <v>140</v>
      </c>
      <c r="BB2">
        <f>'R4UD_Project'!$M$17</f>
        <v>65</v>
      </c>
      <c r="BD2" t="s">
        <v>140</v>
      </c>
      <c r="BE2">
        <f>'R4UD_Project'!$M$17</f>
        <v>65</v>
      </c>
      <c r="BG2" t="s">
        <v>140</v>
      </c>
      <c r="BH2">
        <f>'R4UD_Project'!$M$17</f>
        <v>65</v>
      </c>
    </row>
    <row r="3" spans="2:60" x14ac:dyDescent="0.25">
      <c r="B3" t="s">
        <v>141</v>
      </c>
      <c r="C3">
        <f>'R4UD_Project'!L20</f>
        <v>4000</v>
      </c>
      <c r="E3" t="s">
        <v>141</v>
      </c>
      <c r="F3">
        <f>'R4UD_Project'!L20</f>
        <v>4000</v>
      </c>
      <c r="H3" t="s">
        <v>141</v>
      </c>
      <c r="I3">
        <f>'R4UD_Project'!L21</f>
        <v>1500</v>
      </c>
      <c r="K3" t="s">
        <v>141</v>
      </c>
      <c r="L3">
        <f>'R4UD_Project'!L21</f>
        <v>1500</v>
      </c>
      <c r="N3" t="s">
        <v>141</v>
      </c>
      <c r="O3">
        <f>'R4UD_Project'!L22</f>
        <v>1700</v>
      </c>
      <c r="Q3" t="s">
        <v>141</v>
      </c>
      <c r="R3">
        <f>'R4UD_Project'!L22</f>
        <v>1700</v>
      </c>
      <c r="T3" t="s">
        <v>141</v>
      </c>
      <c r="U3">
        <f>'R4UD_Project'!L23</f>
        <v>1200</v>
      </c>
      <c r="W3" t="s">
        <v>141</v>
      </c>
      <c r="X3">
        <f>'R4UD_Project'!L23</f>
        <v>1200</v>
      </c>
      <c r="Z3" t="s">
        <v>141</v>
      </c>
      <c r="AA3">
        <f>'R4UD_Project'!L24</f>
        <v>0</v>
      </c>
      <c r="AC3" t="s">
        <v>141</v>
      </c>
      <c r="AD3">
        <f>'R4UD_Project'!L24</f>
        <v>0</v>
      </c>
      <c r="AF3" t="s">
        <v>141</v>
      </c>
      <c r="AG3">
        <f>'R4UD_Project'!L25</f>
        <v>0</v>
      </c>
      <c r="AI3" t="s">
        <v>141</v>
      </c>
      <c r="AJ3">
        <f>'R4UD_Project'!L25</f>
        <v>0</v>
      </c>
      <c r="AL3" t="s">
        <v>141</v>
      </c>
      <c r="AM3">
        <f>'R4UD_Project'!L26</f>
        <v>0</v>
      </c>
      <c r="AO3" t="s">
        <v>141</v>
      </c>
      <c r="AP3">
        <f>'R4UD_Project'!L26</f>
        <v>0</v>
      </c>
      <c r="AR3" t="s">
        <v>141</v>
      </c>
      <c r="AS3">
        <f>'R4UD_Project'!L27</f>
        <v>0</v>
      </c>
      <c r="AU3" t="s">
        <v>141</v>
      </c>
      <c r="AV3">
        <f>'R4UD_Project'!L27</f>
        <v>0</v>
      </c>
      <c r="AX3" t="s">
        <v>141</v>
      </c>
      <c r="AY3">
        <f>'R4UD_Project'!L28</f>
        <v>0</v>
      </c>
      <c r="BA3" t="s">
        <v>141</v>
      </c>
      <c r="BB3">
        <f>'R4UD_Project'!L28</f>
        <v>0</v>
      </c>
      <c r="BD3" t="s">
        <v>141</v>
      </c>
      <c r="BE3">
        <f>'R4UD_Project'!L29</f>
        <v>0</v>
      </c>
      <c r="BG3" t="s">
        <v>141</v>
      </c>
      <c r="BH3">
        <f>'R4UD_Project'!L29</f>
        <v>0</v>
      </c>
    </row>
    <row r="4" spans="2:60" x14ac:dyDescent="0.25">
      <c r="B4" t="s">
        <v>142</v>
      </c>
      <c r="C4" s="120">
        <f>'R4UD_Project'!$M$16*100</f>
        <v>8</v>
      </c>
      <c r="E4" t="s">
        <v>142</v>
      </c>
      <c r="F4" s="120">
        <f>'R4UD_Project'!$M$16*100</f>
        <v>8</v>
      </c>
      <c r="H4" t="s">
        <v>142</v>
      </c>
      <c r="I4" s="120">
        <f>'R4UD_Project'!$M$16*100</f>
        <v>8</v>
      </c>
      <c r="K4" t="s">
        <v>142</v>
      </c>
      <c r="L4" s="120">
        <f>'R4UD_Project'!$M$16*100</f>
        <v>8</v>
      </c>
      <c r="N4" t="s">
        <v>142</v>
      </c>
      <c r="O4" s="120">
        <f>'R4UD_Project'!$M$16*100</f>
        <v>8</v>
      </c>
      <c r="Q4" t="s">
        <v>142</v>
      </c>
      <c r="R4" s="120">
        <f>'R4UD_Project'!$M$16*100</f>
        <v>8</v>
      </c>
      <c r="T4" t="s">
        <v>142</v>
      </c>
      <c r="U4" s="120">
        <f>'R4UD_Project'!$M$16*100</f>
        <v>8</v>
      </c>
      <c r="W4" t="s">
        <v>142</v>
      </c>
      <c r="X4" s="120">
        <f>'R4UD_Project'!$M$16*100</f>
        <v>8</v>
      </c>
      <c r="Z4" t="s">
        <v>142</v>
      </c>
      <c r="AA4" s="120">
        <f>'R4UD_Project'!$M$16*100</f>
        <v>8</v>
      </c>
      <c r="AC4" t="s">
        <v>142</v>
      </c>
      <c r="AD4" s="120">
        <f>'R4UD_Project'!$M$16*100</f>
        <v>8</v>
      </c>
      <c r="AF4" t="s">
        <v>142</v>
      </c>
      <c r="AG4" s="120">
        <f>'R4UD_Project'!$M$16*100</f>
        <v>8</v>
      </c>
      <c r="AI4" t="s">
        <v>142</v>
      </c>
      <c r="AJ4" s="120">
        <f>'R4UD_Project'!$M$16*100</f>
        <v>8</v>
      </c>
      <c r="AL4" t="s">
        <v>142</v>
      </c>
      <c r="AM4" s="120">
        <f>'R4UD_Project'!$M$16*100</f>
        <v>8</v>
      </c>
      <c r="AO4" t="s">
        <v>142</v>
      </c>
      <c r="AP4" s="120">
        <f>'R4UD_Project'!$M$16*100</f>
        <v>8</v>
      </c>
      <c r="AR4" t="s">
        <v>142</v>
      </c>
      <c r="AS4" s="120">
        <f>'R4UD_Project'!$M$16*100</f>
        <v>8</v>
      </c>
      <c r="AU4" t="s">
        <v>142</v>
      </c>
      <c r="AV4" s="120">
        <f>'R4UD_Project'!$M$16*100</f>
        <v>8</v>
      </c>
      <c r="AX4" t="s">
        <v>142</v>
      </c>
      <c r="AY4" s="120">
        <f>'R4UD_Project'!$M$16*100</f>
        <v>8</v>
      </c>
      <c r="BA4" t="s">
        <v>142</v>
      </c>
      <c r="BB4" s="120">
        <f>'R4UD_Project'!$M$16*100</f>
        <v>8</v>
      </c>
      <c r="BD4" t="s">
        <v>142</v>
      </c>
      <c r="BE4" s="120">
        <f>'R4UD_Project'!$M$16*100</f>
        <v>8</v>
      </c>
      <c r="BG4" t="s">
        <v>142</v>
      </c>
      <c r="BH4" s="120">
        <f>'R4UD_Project'!$M$16*100</f>
        <v>8</v>
      </c>
    </row>
    <row r="5" spans="2:60" x14ac:dyDescent="0.25">
      <c r="B5" t="s">
        <v>153</v>
      </c>
      <c r="C5">
        <f>IF(C2&lt;=10,10,IF(C2&lt;=15,15,IF(C2&lt;=20,20,IF(C2&lt;=25,25,IF(C2&lt;=30,30,IF(C2&lt;=35,35,IF(C2&lt;=40,40,IF(C2&lt;=45,45,IF(C2&lt;=50,50,IF(C2&lt;=55,55,IF(C2&lt;=60,60,IF(C2&lt;=65,65,IF(C2&lt;=70,70,IF(C2&lt;=75,75,IF(C2&lt;=80,80,80)))))))))))))))</f>
        <v>65</v>
      </c>
      <c r="E5" t="s">
        <v>153</v>
      </c>
      <c r="F5">
        <f>IF(F2&lt;=10,10,IF(F2&lt;=15,15,IF(F2&lt;=20,20,IF(F2&lt;=25,25,IF(F2&lt;=30,30,IF(F2&lt;=35,35,IF(F2&lt;=40,40,IF(F2&lt;=45,45,IF(F2&lt;=50,50,IF(F2&lt;=55,55,IF(F2&lt;=60,60,IF(F2&lt;=65,65,IF(F2&lt;=70,70,IF(F2&lt;=75,75,IF(F2&lt;=80,80,80)))))))))))))))</f>
        <v>65</v>
      </c>
      <c r="H5" t="s">
        <v>153</v>
      </c>
      <c r="I5">
        <f>IF(I2&lt;=10,10,IF(I2&lt;=15,15,IF(I2&lt;=20,20,IF(I2&lt;=25,25,IF(I2&lt;=30,30,IF(I2&lt;=35,35,IF(I2&lt;=40,40,IF(I2&lt;=45,45,IF(I2&lt;=50,50,IF(I2&lt;=55,55,IF(I2&lt;=60,60,IF(I2&lt;=65,65,IF(I2&lt;=70,70,IF(I2&lt;=75,75,IF(I2&lt;=80,80,80)))))))))))))))</f>
        <v>65</v>
      </c>
      <c r="K5" t="s">
        <v>153</v>
      </c>
      <c r="L5">
        <f>IF(L2&lt;=10,10,IF(L2&lt;=15,15,IF(L2&lt;=20,20,IF(L2&lt;=25,25,IF(L2&lt;=30,30,IF(L2&lt;=35,35,IF(L2&lt;=40,40,IF(L2&lt;=45,45,IF(L2&lt;=50,50,IF(L2&lt;=55,55,IF(L2&lt;=60,60,IF(L2&lt;=65,65,IF(L2&lt;=70,70,IF(L2&lt;=75,75,IF(L2&lt;=80,80,80)))))))))))))))</f>
        <v>65</v>
      </c>
      <c r="N5" t="s">
        <v>153</v>
      </c>
      <c r="O5">
        <f>IF(O2&lt;=10,10,IF(O2&lt;=15,15,IF(O2&lt;=20,20,IF(O2&lt;=25,25,IF(O2&lt;=30,30,IF(O2&lt;=35,35,IF(O2&lt;=40,40,IF(O2&lt;=45,45,IF(O2&lt;=50,50,IF(O2&lt;=55,55,IF(O2&lt;=60,60,IF(O2&lt;=65,65,IF(O2&lt;=70,70,IF(O2&lt;=75,75,IF(O2&lt;=80,80,80)))))))))))))))</f>
        <v>65</v>
      </c>
      <c r="Q5" t="s">
        <v>153</v>
      </c>
      <c r="R5">
        <f>IF(R2&lt;=10,10,IF(R2&lt;=15,15,IF(R2&lt;=20,20,IF(R2&lt;=25,25,IF(R2&lt;=30,30,IF(R2&lt;=35,35,IF(R2&lt;=40,40,IF(R2&lt;=45,45,IF(R2&lt;=50,50,IF(R2&lt;=55,55,IF(R2&lt;=60,60,IF(R2&lt;=65,65,IF(R2&lt;=70,70,IF(R2&lt;=75,75,IF(R2&lt;=80,80,80)))))))))))))))</f>
        <v>65</v>
      </c>
      <c r="T5" t="s">
        <v>153</v>
      </c>
      <c r="U5">
        <f>IF(U2&lt;=10,10,IF(U2&lt;=15,15,IF(U2&lt;=20,20,IF(U2&lt;=25,25,IF(U2&lt;=30,30,IF(U2&lt;=35,35,IF(U2&lt;=40,40,IF(U2&lt;=45,45,IF(U2&lt;=50,50,IF(U2&lt;=55,55,IF(U2&lt;=60,60,IF(U2&lt;=65,65,IF(U2&lt;=70,70,IF(U2&lt;=75,75,IF(U2&lt;=80,80,80)))))))))))))))</f>
        <v>65</v>
      </c>
      <c r="W5" t="s">
        <v>153</v>
      </c>
      <c r="X5">
        <f>IF(X2&lt;=10,10,IF(X2&lt;=15,15,IF(X2&lt;=20,20,IF(X2&lt;=25,25,IF(X2&lt;=30,30,IF(X2&lt;=35,35,IF(X2&lt;=40,40,IF(X2&lt;=45,45,IF(X2&lt;=50,50,IF(X2&lt;=55,55,IF(X2&lt;=60,60,IF(X2&lt;=65,65,IF(X2&lt;=70,70,IF(X2&lt;=75,75,IF(X2&lt;=80,80,80)))))))))))))))</f>
        <v>65</v>
      </c>
      <c r="Z5" t="s">
        <v>153</v>
      </c>
      <c r="AA5">
        <f>IF(AA2&lt;=10,10,IF(AA2&lt;=15,15,IF(AA2&lt;=20,20,IF(AA2&lt;=25,25,IF(AA2&lt;=30,30,IF(AA2&lt;=35,35,IF(AA2&lt;=40,40,IF(AA2&lt;=45,45,IF(AA2&lt;=50,50,IF(AA2&lt;=55,55,IF(AA2&lt;=60,60,IF(AA2&lt;=65,65,IF(AA2&lt;=70,70,IF(AA2&lt;=75,75,IF(AA2&lt;=80,80,80)))))))))))))))</f>
        <v>65</v>
      </c>
      <c r="AC5" t="s">
        <v>153</v>
      </c>
      <c r="AD5">
        <f>IF(AD2&lt;=10,10,IF(AD2&lt;=15,15,IF(AD2&lt;=20,20,IF(AD2&lt;=25,25,IF(AD2&lt;=30,30,IF(AD2&lt;=35,35,IF(AD2&lt;=40,40,IF(AD2&lt;=45,45,IF(AD2&lt;=50,50,IF(AD2&lt;=55,55,IF(AD2&lt;=60,60,IF(AD2&lt;=65,65,IF(AD2&lt;=70,70,IF(AD2&lt;=75,75,IF(AD2&lt;=80,80,80)))))))))))))))</f>
        <v>65</v>
      </c>
      <c r="AF5" t="s">
        <v>153</v>
      </c>
      <c r="AG5">
        <f>IF(AG2&lt;=10,10,IF(AG2&lt;=15,15,IF(AG2&lt;=20,20,IF(AG2&lt;=25,25,IF(AG2&lt;=30,30,IF(AG2&lt;=35,35,IF(AG2&lt;=40,40,IF(AG2&lt;=45,45,IF(AG2&lt;=50,50,IF(AG2&lt;=55,55,IF(AG2&lt;=60,60,IF(AG2&lt;=65,65,IF(AG2&lt;=70,70,IF(AG2&lt;=75,75,IF(AG2&lt;=80,80,80)))))))))))))))</f>
        <v>65</v>
      </c>
      <c r="AI5" t="s">
        <v>153</v>
      </c>
      <c r="AJ5">
        <f>IF(AJ2&lt;=10,10,IF(AJ2&lt;=15,15,IF(AJ2&lt;=20,20,IF(AJ2&lt;=25,25,IF(AJ2&lt;=30,30,IF(AJ2&lt;=35,35,IF(AJ2&lt;=40,40,IF(AJ2&lt;=45,45,IF(AJ2&lt;=50,50,IF(AJ2&lt;=55,55,IF(AJ2&lt;=60,60,IF(AJ2&lt;=65,65,IF(AJ2&lt;=70,70,IF(AJ2&lt;=75,75,IF(AJ2&lt;=80,80,80)))))))))))))))</f>
        <v>65</v>
      </c>
      <c r="AL5" t="s">
        <v>153</v>
      </c>
      <c r="AM5">
        <f>IF(AM2&lt;=10,10,IF(AM2&lt;=15,15,IF(AM2&lt;=20,20,IF(AM2&lt;=25,25,IF(AM2&lt;=30,30,IF(AM2&lt;=35,35,IF(AM2&lt;=40,40,IF(AM2&lt;=45,45,IF(AM2&lt;=50,50,IF(AM2&lt;=55,55,IF(AM2&lt;=60,60,IF(AM2&lt;=65,65,IF(AM2&lt;=70,70,IF(AM2&lt;=75,75,IF(AM2&lt;=80,80,80)))))))))))))))</f>
        <v>65</v>
      </c>
      <c r="AO5" t="s">
        <v>153</v>
      </c>
      <c r="AP5">
        <f>IF(AP2&lt;=10,10,IF(AP2&lt;=15,15,IF(AP2&lt;=20,20,IF(AP2&lt;=25,25,IF(AP2&lt;=30,30,IF(AP2&lt;=35,35,IF(AP2&lt;=40,40,IF(AP2&lt;=45,45,IF(AP2&lt;=50,50,IF(AP2&lt;=55,55,IF(AP2&lt;=60,60,IF(AP2&lt;=65,65,IF(AP2&lt;=70,70,IF(AP2&lt;=75,75,IF(AP2&lt;=80,80,80)))))))))))))))</f>
        <v>65</v>
      </c>
      <c r="AR5" t="s">
        <v>153</v>
      </c>
      <c r="AS5">
        <f>IF(AS2&lt;=10,10,IF(AS2&lt;=15,15,IF(AS2&lt;=20,20,IF(AS2&lt;=25,25,IF(AS2&lt;=30,30,IF(AS2&lt;=35,35,IF(AS2&lt;=40,40,IF(AS2&lt;=45,45,IF(AS2&lt;=50,50,IF(AS2&lt;=55,55,IF(AS2&lt;=60,60,IF(AS2&lt;=65,65,IF(AS2&lt;=70,70,IF(AS2&lt;=75,75,IF(AS2&lt;=80,80,80)))))))))))))))</f>
        <v>65</v>
      </c>
      <c r="AU5" t="s">
        <v>153</v>
      </c>
      <c r="AV5">
        <f>IF(AV2&lt;=10,10,IF(AV2&lt;=15,15,IF(AV2&lt;=20,20,IF(AV2&lt;=25,25,IF(AV2&lt;=30,30,IF(AV2&lt;=35,35,IF(AV2&lt;=40,40,IF(AV2&lt;=45,45,IF(AV2&lt;=50,50,IF(AV2&lt;=55,55,IF(AV2&lt;=60,60,IF(AV2&lt;=65,65,IF(AV2&lt;=70,70,IF(AV2&lt;=75,75,IF(AV2&lt;=80,80,80)))))))))))))))</f>
        <v>65</v>
      </c>
      <c r="AX5" t="s">
        <v>153</v>
      </c>
      <c r="AY5">
        <f>IF(AY2&lt;=10,10,IF(AY2&lt;=15,15,IF(AY2&lt;=20,20,IF(AY2&lt;=25,25,IF(AY2&lt;=30,30,IF(AY2&lt;=35,35,IF(AY2&lt;=40,40,IF(AY2&lt;=45,45,IF(AY2&lt;=50,50,IF(AY2&lt;=55,55,IF(AY2&lt;=60,60,IF(AY2&lt;=65,65,IF(AY2&lt;=70,70,IF(AY2&lt;=75,75,IF(AY2&lt;=80,80,80)))))))))))))))</f>
        <v>65</v>
      </c>
      <c r="BA5" t="s">
        <v>153</v>
      </c>
      <c r="BB5">
        <f>IF(BB2&lt;=10,10,IF(BB2&lt;=15,15,IF(BB2&lt;=20,20,IF(BB2&lt;=25,25,IF(BB2&lt;=30,30,IF(BB2&lt;=35,35,IF(BB2&lt;=40,40,IF(BB2&lt;=45,45,IF(BB2&lt;=50,50,IF(BB2&lt;=55,55,IF(BB2&lt;=60,60,IF(BB2&lt;=65,65,IF(BB2&lt;=70,70,IF(BB2&lt;=75,75,IF(BB2&lt;=80,80,80)))))))))))))))</f>
        <v>65</v>
      </c>
      <c r="BD5" t="s">
        <v>153</v>
      </c>
      <c r="BE5">
        <f>IF(BE2&lt;=10,10,IF(BE2&lt;=15,15,IF(BE2&lt;=20,20,IF(BE2&lt;=25,25,IF(BE2&lt;=30,30,IF(BE2&lt;=35,35,IF(BE2&lt;=40,40,IF(BE2&lt;=45,45,IF(BE2&lt;=50,50,IF(BE2&lt;=55,55,IF(BE2&lt;=60,60,IF(BE2&lt;=65,65,IF(BE2&lt;=70,70,IF(BE2&lt;=75,75,IF(BE2&lt;=80,80,80)))))))))))))))</f>
        <v>65</v>
      </c>
      <c r="BG5" t="s">
        <v>153</v>
      </c>
      <c r="BH5">
        <f>IF(BH2&lt;=10,10,IF(BH2&lt;=15,15,IF(BH2&lt;=20,20,IF(BH2&lt;=25,25,IF(BH2&lt;=30,30,IF(BH2&lt;=35,35,IF(BH2&lt;=40,40,IF(BH2&lt;=45,45,IF(BH2&lt;=50,50,IF(BH2&lt;=55,55,IF(BH2&lt;=60,60,IF(BH2&lt;=65,65,IF(BH2&lt;=70,70,IF(BH2&lt;=75,75,IF(BH2&lt;=80,80,80)))))))))))))))</f>
        <v>65</v>
      </c>
    </row>
    <row r="6" spans="2:60" x14ac:dyDescent="0.25">
      <c r="B6" t="s">
        <v>139</v>
      </c>
      <c r="C6">
        <f>IF(C5=10,10,IF(C5=15,15,IF(C5=20,20,IF(C5=25,24,IF(C5=30,28,IF(C5=35,32,IF(C5=40,36,IF(C5=45,40,IF(C5=50,44,IF(C5=55,48,IF(C5=60,52,IF(C5=65,55,IF(C5=70,58,IF(C5=75,61,IF(C5=80,64,"na")))))))))))))))</f>
        <v>55</v>
      </c>
      <c r="E6" t="s">
        <v>139</v>
      </c>
      <c r="F6">
        <f>IF(F5=10,10,IF(F5=15,15,IF(F5=20,20,IF(F5=25,24,IF(F5=30,28,IF(F5=35,32,IF(F5=40,36,IF(F5=45,40,IF(F5=50,44,IF(F5=55,48,IF(F5=60,52,IF(F5=65,55,IF(F5=70,58,IF(F5=75,61,IF(F5=80,64,"na")))))))))))))))</f>
        <v>55</v>
      </c>
      <c r="H6" t="s">
        <v>139</v>
      </c>
      <c r="I6">
        <f>IF(I5=10,10,IF(I5=15,15,IF(I5=20,20,IF(I5=25,24,IF(I5=30,28,IF(I5=35,32,IF(I5=40,36,IF(I5=45,40,IF(I5=50,44,IF(I5=55,48,IF(I5=60,52,IF(I5=65,55,IF(I5=70,58,IF(I5=75,61,IF(I5=80,64,"na")))))))))))))))</f>
        <v>55</v>
      </c>
      <c r="K6" t="s">
        <v>139</v>
      </c>
      <c r="L6">
        <f>IF(L5=10,10,IF(L5=15,15,IF(L5=20,20,IF(L5=25,24,IF(L5=30,28,IF(L5=35,32,IF(L5=40,36,IF(L5=45,40,IF(L5=50,44,IF(L5=55,48,IF(L5=60,52,IF(L5=65,55,IF(L5=70,58,IF(L5=75,61,IF(L5=80,64,"na")))))))))))))))</f>
        <v>55</v>
      </c>
      <c r="N6" t="s">
        <v>139</v>
      </c>
      <c r="O6">
        <f>IF(O5=10,10,IF(O5=15,15,IF(O5=20,20,IF(O5=25,24,IF(O5=30,28,IF(O5=35,32,IF(O5=40,36,IF(O5=45,40,IF(O5=50,44,IF(O5=55,48,IF(O5=60,52,IF(O5=65,55,IF(O5=70,58,IF(O5=75,61,IF(O5=80,64,"na")))))))))))))))</f>
        <v>55</v>
      </c>
      <c r="Q6" t="s">
        <v>139</v>
      </c>
      <c r="R6">
        <f>IF(R5=10,10,IF(R5=15,15,IF(R5=20,20,IF(R5=25,24,IF(R5=30,28,IF(R5=35,32,IF(R5=40,36,IF(R5=45,40,IF(R5=50,44,IF(R5=55,48,IF(R5=60,52,IF(R5=65,55,IF(R5=70,58,IF(R5=75,61,IF(R5=80,64,"na")))))))))))))))</f>
        <v>55</v>
      </c>
      <c r="T6" t="s">
        <v>139</v>
      </c>
      <c r="U6">
        <f>IF(U5=10,10,IF(U5=15,15,IF(U5=20,20,IF(U5=25,24,IF(U5=30,28,IF(U5=35,32,IF(U5=40,36,IF(U5=45,40,IF(U5=50,44,IF(U5=55,48,IF(U5=60,52,IF(U5=65,55,IF(U5=70,58,IF(U5=75,61,IF(U5=80,64,"na")))))))))))))))</f>
        <v>55</v>
      </c>
      <c r="W6" t="s">
        <v>139</v>
      </c>
      <c r="X6">
        <f>IF(X5=10,10,IF(X5=15,15,IF(X5=20,20,IF(X5=25,24,IF(X5=30,28,IF(X5=35,32,IF(X5=40,36,IF(X5=45,40,IF(X5=50,44,IF(X5=55,48,IF(X5=60,52,IF(X5=65,55,IF(X5=70,58,IF(X5=75,61,IF(X5=80,64,"na")))))))))))))))</f>
        <v>55</v>
      </c>
      <c r="Z6" t="s">
        <v>139</v>
      </c>
      <c r="AA6">
        <f>IF(AA5=10,10,IF(AA5=15,15,IF(AA5=20,20,IF(AA5=25,24,IF(AA5=30,28,IF(AA5=35,32,IF(AA5=40,36,IF(AA5=45,40,IF(AA5=50,44,IF(AA5=55,48,IF(AA5=60,52,IF(AA5=65,55,IF(AA5=70,58,IF(AA5=75,61,IF(AA5=80,64,"na")))))))))))))))</f>
        <v>55</v>
      </c>
      <c r="AC6" t="s">
        <v>139</v>
      </c>
      <c r="AD6">
        <f>IF(AD5=10,10,IF(AD5=15,15,IF(AD5=20,20,IF(AD5=25,24,IF(AD5=30,28,IF(AD5=35,32,IF(AD5=40,36,IF(AD5=45,40,IF(AD5=50,44,IF(AD5=55,48,IF(AD5=60,52,IF(AD5=65,55,IF(AD5=70,58,IF(AD5=75,61,IF(AD5=80,64,"na")))))))))))))))</f>
        <v>55</v>
      </c>
      <c r="AF6" t="s">
        <v>139</v>
      </c>
      <c r="AG6">
        <f>IF(AG5=10,10,IF(AG5=15,15,IF(AG5=20,20,IF(AG5=25,24,IF(AG5=30,28,IF(AG5=35,32,IF(AG5=40,36,IF(AG5=45,40,IF(AG5=50,44,IF(AG5=55,48,IF(AG5=60,52,IF(AG5=65,55,IF(AG5=70,58,IF(AG5=75,61,IF(AG5=80,64,"na")))))))))))))))</f>
        <v>55</v>
      </c>
      <c r="AI6" t="s">
        <v>139</v>
      </c>
      <c r="AJ6">
        <f>IF(AJ5=10,10,IF(AJ5=15,15,IF(AJ5=20,20,IF(AJ5=25,24,IF(AJ5=30,28,IF(AJ5=35,32,IF(AJ5=40,36,IF(AJ5=45,40,IF(AJ5=50,44,IF(AJ5=55,48,IF(AJ5=60,52,IF(AJ5=65,55,IF(AJ5=70,58,IF(AJ5=75,61,IF(AJ5=80,64,"na")))))))))))))))</f>
        <v>55</v>
      </c>
      <c r="AL6" t="s">
        <v>139</v>
      </c>
      <c r="AM6">
        <f>IF(AM5=10,10,IF(AM5=15,15,IF(AM5=20,20,IF(AM5=25,24,IF(AM5=30,28,IF(AM5=35,32,IF(AM5=40,36,IF(AM5=45,40,IF(AM5=50,44,IF(AM5=55,48,IF(AM5=60,52,IF(AM5=65,55,IF(AM5=70,58,IF(AM5=75,61,IF(AM5=80,64,"na")))))))))))))))</f>
        <v>55</v>
      </c>
      <c r="AO6" t="s">
        <v>139</v>
      </c>
      <c r="AP6">
        <f>IF(AP5=10,10,IF(AP5=15,15,IF(AP5=20,20,IF(AP5=25,24,IF(AP5=30,28,IF(AP5=35,32,IF(AP5=40,36,IF(AP5=45,40,IF(AP5=50,44,IF(AP5=55,48,IF(AP5=60,52,IF(AP5=65,55,IF(AP5=70,58,IF(AP5=75,61,IF(AP5=80,64,"na")))))))))))))))</f>
        <v>55</v>
      </c>
      <c r="AR6" t="s">
        <v>139</v>
      </c>
      <c r="AS6">
        <f>IF(AS5=10,10,IF(AS5=15,15,IF(AS5=20,20,IF(AS5=25,24,IF(AS5=30,28,IF(AS5=35,32,IF(AS5=40,36,IF(AS5=45,40,IF(AS5=50,44,IF(AS5=55,48,IF(AS5=60,52,IF(AS5=65,55,IF(AS5=70,58,IF(AS5=75,61,IF(AS5=80,64,"na")))))))))))))))</f>
        <v>55</v>
      </c>
      <c r="AU6" t="s">
        <v>139</v>
      </c>
      <c r="AV6">
        <f>IF(AV5=10,10,IF(AV5=15,15,IF(AV5=20,20,IF(AV5=25,24,IF(AV5=30,28,IF(AV5=35,32,IF(AV5=40,36,IF(AV5=45,40,IF(AV5=50,44,IF(AV5=55,48,IF(AV5=60,52,IF(AV5=65,55,IF(AV5=70,58,IF(AV5=75,61,IF(AV5=80,64,"na")))))))))))))))</f>
        <v>55</v>
      </c>
      <c r="AX6" t="s">
        <v>139</v>
      </c>
      <c r="AY6">
        <f>IF(AY5=10,10,IF(AY5=15,15,IF(AY5=20,20,IF(AY5=25,24,IF(AY5=30,28,IF(AY5=35,32,IF(AY5=40,36,IF(AY5=45,40,IF(AY5=50,44,IF(AY5=55,48,IF(AY5=60,52,IF(AY5=65,55,IF(AY5=70,58,IF(AY5=75,61,IF(AY5=80,64,"na")))))))))))))))</f>
        <v>55</v>
      </c>
      <c r="BA6" t="s">
        <v>139</v>
      </c>
      <c r="BB6">
        <f>IF(BB5=10,10,IF(BB5=15,15,IF(BB5=20,20,IF(BB5=25,24,IF(BB5=30,28,IF(BB5=35,32,IF(BB5=40,36,IF(BB5=45,40,IF(BB5=50,44,IF(BB5=55,48,IF(BB5=60,52,IF(BB5=65,55,IF(BB5=70,58,IF(BB5=75,61,IF(BB5=80,64,"na")))))))))))))))</f>
        <v>55</v>
      </c>
      <c r="BD6" t="s">
        <v>139</v>
      </c>
      <c r="BE6">
        <f>IF(BE5=10,10,IF(BE5=15,15,IF(BE5=20,20,IF(BE5=25,24,IF(BE5=30,28,IF(BE5=35,32,IF(BE5=40,36,IF(BE5=45,40,IF(BE5=50,44,IF(BE5=55,48,IF(BE5=60,52,IF(BE5=65,55,IF(BE5=70,58,IF(BE5=75,61,IF(BE5=80,64,"na")))))))))))))))</f>
        <v>55</v>
      </c>
      <c r="BG6" t="s">
        <v>139</v>
      </c>
      <c r="BH6">
        <f>IF(BH5=10,10,IF(BH5=15,15,IF(BH5=20,20,IF(BH5=25,24,IF(BH5=30,28,IF(BH5=35,32,IF(BH5=40,36,IF(BH5=45,40,IF(BH5=50,44,IF(BH5=55,48,IF(BH5=60,52,IF(BH5=65,55,IF(BH5=70,58,IF(BH5=75,61,IF(BH5=80,64,"na")))))))))))))))</f>
        <v>55</v>
      </c>
    </row>
    <row r="7" spans="2:60" x14ac:dyDescent="0.25">
      <c r="B7" t="s">
        <v>143</v>
      </c>
      <c r="C7">
        <f>IF(C5=10,0.38,IF(C5=15,0.32,IF(C5=20,0.27,IF(C5=25,0.23,IF(C5=30,0.2,IF(C5=35,0.18,IF(C5=40,0.16,IF(C5=45,0.15,IF(C5=50,0.14,IF(C5=55,0.13,IF(C5=60,0.12,IF(C5=65,0.11,IF(C5=70,0.1,IF(C5=75,0.09,IF(C5=80,0.08,0.08)))))))))))))))</f>
        <v>0.11</v>
      </c>
      <c r="E7" t="s">
        <v>143</v>
      </c>
      <c r="F7">
        <f>IF(F5=10,0.38,IF(F5=15,0.32,IF(F5=20,0.27,IF(F5=25,0.23,IF(F5=30,0.2,IF(F5=35,0.18,IF(F5=40,0.16,IF(F5=45,0.15,IF(F5=50,0.14,IF(F5=55,0.13,IF(F5=60,0.12,IF(F5=65,0.11,IF(F5=70,0.1,IF(F5=75,0.09,IF(F5=80,0.08,0.08)))))))))))))))</f>
        <v>0.11</v>
      </c>
      <c r="H7" t="s">
        <v>143</v>
      </c>
      <c r="I7">
        <f>IF(I5=10,0.38,IF(I5=15,0.32,IF(I5=20,0.27,IF(I5=25,0.23,IF(I5=30,0.2,IF(I5=35,0.18,IF(I5=40,0.16,IF(I5=45,0.15,IF(I5=50,0.14,IF(I5=55,0.13,IF(I5=60,0.12,IF(I5=65,0.11,IF(I5=70,0.1,IF(I5=75,0.09,IF(I5=80,0.08,0.08)))))))))))))))</f>
        <v>0.11</v>
      </c>
      <c r="K7" t="s">
        <v>143</v>
      </c>
      <c r="L7">
        <f>IF(L5=10,0.38,IF(L5=15,0.32,IF(L5=20,0.27,IF(L5=25,0.23,IF(L5=30,0.2,IF(L5=35,0.18,IF(L5=40,0.16,IF(L5=45,0.15,IF(L5=50,0.14,IF(L5=55,0.13,IF(L5=60,0.12,IF(L5=65,0.11,IF(L5=70,0.1,IF(L5=75,0.09,IF(L5=80,0.08,0.08)))))))))))))))</f>
        <v>0.11</v>
      </c>
      <c r="N7" t="s">
        <v>143</v>
      </c>
      <c r="O7">
        <f>IF(O5=10,0.38,IF(O5=15,0.32,IF(O5=20,0.27,IF(O5=25,0.23,IF(O5=30,0.2,IF(O5=35,0.18,IF(O5=40,0.16,IF(O5=45,0.15,IF(O5=50,0.14,IF(O5=55,0.13,IF(O5=60,0.12,IF(O5=65,0.11,IF(O5=70,0.1,IF(O5=75,0.09,IF(O5=80,0.08,0.08)))))))))))))))</f>
        <v>0.11</v>
      </c>
      <c r="Q7" t="s">
        <v>143</v>
      </c>
      <c r="R7">
        <f>IF(R5=10,0.38,IF(R5=15,0.32,IF(R5=20,0.27,IF(R5=25,0.23,IF(R5=30,0.2,IF(R5=35,0.18,IF(R5=40,0.16,IF(R5=45,0.15,IF(R5=50,0.14,IF(R5=55,0.13,IF(R5=60,0.12,IF(R5=65,0.11,IF(R5=70,0.1,IF(R5=75,0.09,IF(R5=80,0.08,0.08)))))))))))))))</f>
        <v>0.11</v>
      </c>
      <c r="T7" t="s">
        <v>143</v>
      </c>
      <c r="U7">
        <f>IF(U5=10,0.38,IF(U5=15,0.32,IF(U5=20,0.27,IF(U5=25,0.23,IF(U5=30,0.2,IF(U5=35,0.18,IF(U5=40,0.16,IF(U5=45,0.15,IF(U5=50,0.14,IF(U5=55,0.13,IF(U5=60,0.12,IF(U5=65,0.11,IF(U5=70,0.1,IF(U5=75,0.09,IF(U5=80,0.08,0.08)))))))))))))))</f>
        <v>0.11</v>
      </c>
      <c r="W7" t="s">
        <v>143</v>
      </c>
      <c r="X7">
        <f>IF(X5=10,0.38,IF(X5=15,0.32,IF(X5=20,0.27,IF(X5=25,0.23,IF(X5=30,0.2,IF(X5=35,0.18,IF(X5=40,0.16,IF(X5=45,0.15,IF(X5=50,0.14,IF(X5=55,0.13,IF(X5=60,0.12,IF(X5=65,0.11,IF(X5=70,0.1,IF(X5=75,0.09,IF(X5=80,0.08,0.08)))))))))))))))</f>
        <v>0.11</v>
      </c>
      <c r="Z7" t="s">
        <v>143</v>
      </c>
      <c r="AA7">
        <f>IF(AA5=10,0.38,IF(AA5=15,0.32,IF(AA5=20,0.27,IF(AA5=25,0.23,IF(AA5=30,0.2,IF(AA5=35,0.18,IF(AA5=40,0.16,IF(AA5=45,0.15,IF(AA5=50,0.14,IF(AA5=55,0.13,IF(AA5=60,0.12,IF(AA5=65,0.11,IF(AA5=70,0.1,IF(AA5=75,0.09,IF(AA5=80,0.08,0.08)))))))))))))))</f>
        <v>0.11</v>
      </c>
      <c r="AC7" t="s">
        <v>143</v>
      </c>
      <c r="AD7">
        <f>IF(AD5=10,0.38,IF(AD5=15,0.32,IF(AD5=20,0.27,IF(AD5=25,0.23,IF(AD5=30,0.2,IF(AD5=35,0.18,IF(AD5=40,0.16,IF(AD5=45,0.15,IF(AD5=50,0.14,IF(AD5=55,0.13,IF(AD5=60,0.12,IF(AD5=65,0.11,IF(AD5=70,0.1,IF(AD5=75,0.09,IF(AD5=80,0.08,0.08)))))))))))))))</f>
        <v>0.11</v>
      </c>
      <c r="AF7" t="s">
        <v>143</v>
      </c>
      <c r="AG7">
        <f>IF(AG5=10,0.38,IF(AG5=15,0.32,IF(AG5=20,0.27,IF(AG5=25,0.23,IF(AG5=30,0.2,IF(AG5=35,0.18,IF(AG5=40,0.16,IF(AG5=45,0.15,IF(AG5=50,0.14,IF(AG5=55,0.13,IF(AG5=60,0.12,IF(AG5=65,0.11,IF(AG5=70,0.1,IF(AG5=75,0.09,IF(AG5=80,0.08,0.08)))))))))))))))</f>
        <v>0.11</v>
      </c>
      <c r="AI7" t="s">
        <v>143</v>
      </c>
      <c r="AJ7">
        <f>IF(AJ5=10,0.38,IF(AJ5=15,0.32,IF(AJ5=20,0.27,IF(AJ5=25,0.23,IF(AJ5=30,0.2,IF(AJ5=35,0.18,IF(AJ5=40,0.16,IF(AJ5=45,0.15,IF(AJ5=50,0.14,IF(AJ5=55,0.13,IF(AJ5=60,0.12,IF(AJ5=65,0.11,IF(AJ5=70,0.1,IF(AJ5=75,0.09,IF(AJ5=80,0.08,0.08)))))))))))))))</f>
        <v>0.11</v>
      </c>
      <c r="AL7" t="s">
        <v>143</v>
      </c>
      <c r="AM7">
        <f>IF(AM5=10,0.38,IF(AM5=15,0.32,IF(AM5=20,0.27,IF(AM5=25,0.23,IF(AM5=30,0.2,IF(AM5=35,0.18,IF(AM5=40,0.16,IF(AM5=45,0.15,IF(AM5=50,0.14,IF(AM5=55,0.13,IF(AM5=60,0.12,IF(AM5=65,0.11,IF(AM5=70,0.1,IF(AM5=75,0.09,IF(AM5=80,0.08,0.08)))))))))))))))</f>
        <v>0.11</v>
      </c>
      <c r="AO7" t="s">
        <v>143</v>
      </c>
      <c r="AP7">
        <f>IF(AP5=10,0.38,IF(AP5=15,0.32,IF(AP5=20,0.27,IF(AP5=25,0.23,IF(AP5=30,0.2,IF(AP5=35,0.18,IF(AP5=40,0.16,IF(AP5=45,0.15,IF(AP5=50,0.14,IF(AP5=55,0.13,IF(AP5=60,0.12,IF(AP5=65,0.11,IF(AP5=70,0.1,IF(AP5=75,0.09,IF(AP5=80,0.08,0.08)))))))))))))))</f>
        <v>0.11</v>
      </c>
      <c r="AR7" t="s">
        <v>143</v>
      </c>
      <c r="AS7">
        <f>IF(AS5=10,0.38,IF(AS5=15,0.32,IF(AS5=20,0.27,IF(AS5=25,0.23,IF(AS5=30,0.2,IF(AS5=35,0.18,IF(AS5=40,0.16,IF(AS5=45,0.15,IF(AS5=50,0.14,IF(AS5=55,0.13,IF(AS5=60,0.12,IF(AS5=65,0.11,IF(AS5=70,0.1,IF(AS5=75,0.09,IF(AS5=80,0.08,0.08)))))))))))))))</f>
        <v>0.11</v>
      </c>
      <c r="AU7" t="s">
        <v>143</v>
      </c>
      <c r="AV7">
        <f>IF(AV5=10,0.38,IF(AV5=15,0.32,IF(AV5=20,0.27,IF(AV5=25,0.23,IF(AV5=30,0.2,IF(AV5=35,0.18,IF(AV5=40,0.16,IF(AV5=45,0.15,IF(AV5=50,0.14,IF(AV5=55,0.13,IF(AV5=60,0.12,IF(AV5=65,0.11,IF(AV5=70,0.1,IF(AV5=75,0.09,IF(AV5=80,0.08,0.08)))))))))))))))</f>
        <v>0.11</v>
      </c>
      <c r="AX7" t="s">
        <v>143</v>
      </c>
      <c r="AY7">
        <f>IF(AY5=10,0.38,IF(AY5=15,0.32,IF(AY5=20,0.27,IF(AY5=25,0.23,IF(AY5=30,0.2,IF(AY5=35,0.18,IF(AY5=40,0.16,IF(AY5=45,0.15,IF(AY5=50,0.14,IF(AY5=55,0.13,IF(AY5=60,0.12,IF(AY5=65,0.11,IF(AY5=70,0.1,IF(AY5=75,0.09,IF(AY5=80,0.08,0.08)))))))))))))))</f>
        <v>0.11</v>
      </c>
      <c r="BA7" t="s">
        <v>143</v>
      </c>
      <c r="BB7">
        <f>IF(BB5=10,0.38,IF(BB5=15,0.32,IF(BB5=20,0.27,IF(BB5=25,0.23,IF(BB5=30,0.2,IF(BB5=35,0.18,IF(BB5=40,0.16,IF(BB5=45,0.15,IF(BB5=50,0.14,IF(BB5=55,0.13,IF(BB5=60,0.12,IF(BB5=65,0.11,IF(BB5=70,0.1,IF(BB5=75,0.09,IF(BB5=80,0.08,0.08)))))))))))))))</f>
        <v>0.11</v>
      </c>
      <c r="BD7" t="s">
        <v>143</v>
      </c>
      <c r="BE7">
        <f>IF(BE5=10,0.38,IF(BE5=15,0.32,IF(BE5=20,0.27,IF(BE5=25,0.23,IF(BE5=30,0.2,IF(BE5=35,0.18,IF(BE5=40,0.16,IF(BE5=45,0.15,IF(BE5=50,0.14,IF(BE5=55,0.13,IF(BE5=60,0.12,IF(BE5=65,0.11,IF(BE5=70,0.1,IF(BE5=75,0.09,IF(BE5=80,0.08,0.08)))))))))))))))</f>
        <v>0.11</v>
      </c>
      <c r="BG7" t="s">
        <v>143</v>
      </c>
      <c r="BH7">
        <f>IF(BH5=10,0.38,IF(BH5=15,0.32,IF(BH5=20,0.27,IF(BH5=25,0.23,IF(BH5=30,0.2,IF(BH5=35,0.18,IF(BH5=40,0.16,IF(BH5=45,0.15,IF(BH5=50,0.14,IF(BH5=55,0.13,IF(BH5=60,0.12,IF(BH5=65,0.11,IF(BH5=70,0.1,IF(BH5=75,0.09,IF(BH5=80,0.08,0.08)))))))))))))))</f>
        <v>0.11</v>
      </c>
    </row>
    <row r="8" spans="2:60" x14ac:dyDescent="0.25">
      <c r="B8" t="s">
        <v>144</v>
      </c>
      <c r="C8">
        <f>C5^2/(15*(0.01*C4+C7))</f>
        <v>1482.4561403508771</v>
      </c>
      <c r="E8" t="s">
        <v>144</v>
      </c>
      <c r="F8">
        <f>F5^2/(15*(0.01*F4+F7))</f>
        <v>1482.4561403508771</v>
      </c>
      <c r="H8" t="s">
        <v>144</v>
      </c>
      <c r="I8">
        <f>I5^2/(15*(0.01*I4+I7))</f>
        <v>1482.4561403508771</v>
      </c>
      <c r="K8" t="s">
        <v>144</v>
      </c>
      <c r="L8">
        <f>L5^2/(15*(0.01*L4+L7))</f>
        <v>1482.4561403508771</v>
      </c>
      <c r="N8" t="s">
        <v>144</v>
      </c>
      <c r="O8">
        <f>O5^2/(15*(0.01*O4+O7))</f>
        <v>1482.4561403508771</v>
      </c>
      <c r="Q8" t="s">
        <v>144</v>
      </c>
      <c r="R8">
        <f>R5^2/(15*(0.01*R4+R7))</f>
        <v>1482.4561403508771</v>
      </c>
      <c r="T8" t="s">
        <v>144</v>
      </c>
      <c r="U8">
        <f>U5^2/(15*(0.01*U4+U7))</f>
        <v>1482.4561403508771</v>
      </c>
      <c r="W8" t="s">
        <v>144</v>
      </c>
      <c r="X8">
        <f>X5^2/(15*(0.01*X4+X7))</f>
        <v>1482.4561403508771</v>
      </c>
      <c r="Z8" t="s">
        <v>144</v>
      </c>
      <c r="AA8">
        <f>AA5^2/(15*(0.01*AA4+AA7))</f>
        <v>1482.4561403508771</v>
      </c>
      <c r="AC8" t="s">
        <v>144</v>
      </c>
      <c r="AD8">
        <f>AD5^2/(15*(0.01*AD4+AD7))</f>
        <v>1482.4561403508771</v>
      </c>
      <c r="AF8" t="s">
        <v>144</v>
      </c>
      <c r="AG8">
        <f>AG5^2/(15*(0.01*AG4+AG7))</f>
        <v>1482.4561403508771</v>
      </c>
      <c r="AI8" t="s">
        <v>144</v>
      </c>
      <c r="AJ8">
        <f>AJ5^2/(15*(0.01*AJ4+AJ7))</f>
        <v>1482.4561403508771</v>
      </c>
      <c r="AL8" t="s">
        <v>144</v>
      </c>
      <c r="AM8">
        <f>AM5^2/(15*(0.01*AM4+AM7))</f>
        <v>1482.4561403508771</v>
      </c>
      <c r="AO8" t="s">
        <v>144</v>
      </c>
      <c r="AP8">
        <f>AP5^2/(15*(0.01*AP4+AP7))</f>
        <v>1482.4561403508771</v>
      </c>
      <c r="AR8" t="s">
        <v>144</v>
      </c>
      <c r="AS8">
        <f>AS5^2/(15*(0.01*AS4+AS7))</f>
        <v>1482.4561403508771</v>
      </c>
      <c r="AU8" t="s">
        <v>144</v>
      </c>
      <c r="AV8">
        <f>AV5^2/(15*(0.01*AV4+AV7))</f>
        <v>1482.4561403508771</v>
      </c>
      <c r="AX8" t="s">
        <v>144</v>
      </c>
      <c r="AY8">
        <f>AY5^2/(15*(0.01*AY4+AY7))</f>
        <v>1482.4561403508771</v>
      </c>
      <c r="BA8" t="s">
        <v>144</v>
      </c>
      <c r="BB8">
        <f>BB5^2/(15*(0.01*BB4+BB7))</f>
        <v>1482.4561403508771</v>
      </c>
      <c r="BD8" t="s">
        <v>144</v>
      </c>
      <c r="BE8">
        <f>BE5^2/(15*(0.01*BE4+BE7))</f>
        <v>1482.4561403508771</v>
      </c>
      <c r="BG8" t="s">
        <v>144</v>
      </c>
      <c r="BH8">
        <f>BH5^2/(15*(0.01*BH4+BH7))</f>
        <v>1482.4561403508771</v>
      </c>
    </row>
    <row r="9" spans="2:60" x14ac:dyDescent="0.25">
      <c r="B9" t="s">
        <v>145</v>
      </c>
      <c r="C9">
        <f>C6^2/(0.15*C4)</f>
        <v>2520.8333333333335</v>
      </c>
      <c r="E9" t="s">
        <v>145</v>
      </c>
      <c r="F9">
        <f>F6^2/(0.15*F4)</f>
        <v>2520.8333333333335</v>
      </c>
      <c r="H9" t="s">
        <v>145</v>
      </c>
      <c r="I9">
        <f>I6^2/(0.15*I4)</f>
        <v>2520.8333333333335</v>
      </c>
      <c r="K9" t="s">
        <v>145</v>
      </c>
      <c r="L9">
        <f>L6^2/(0.15*L4)</f>
        <v>2520.8333333333335</v>
      </c>
      <c r="N9" t="s">
        <v>145</v>
      </c>
      <c r="O9">
        <f>O6^2/(0.15*O4)</f>
        <v>2520.8333333333335</v>
      </c>
      <c r="Q9" t="s">
        <v>145</v>
      </c>
      <c r="R9">
        <f>R6^2/(0.15*R4)</f>
        <v>2520.8333333333335</v>
      </c>
      <c r="T9" t="s">
        <v>145</v>
      </c>
      <c r="U9">
        <f>U6^2/(0.15*U4)</f>
        <v>2520.8333333333335</v>
      </c>
      <c r="W9" t="s">
        <v>145</v>
      </c>
      <c r="X9">
        <f>X6^2/(0.15*X4)</f>
        <v>2520.8333333333335</v>
      </c>
      <c r="Z9" t="s">
        <v>145</v>
      </c>
      <c r="AA9">
        <f>AA6^2/(0.15*AA4)</f>
        <v>2520.8333333333335</v>
      </c>
      <c r="AC9" t="s">
        <v>145</v>
      </c>
      <c r="AD9">
        <f>AD6^2/(0.15*AD4)</f>
        <v>2520.8333333333335</v>
      </c>
      <c r="AF9" t="s">
        <v>145</v>
      </c>
      <c r="AG9">
        <f>AG6^2/(0.15*AG4)</f>
        <v>2520.8333333333335</v>
      </c>
      <c r="AI9" t="s">
        <v>145</v>
      </c>
      <c r="AJ9">
        <f>AJ6^2/(0.15*AJ4)</f>
        <v>2520.8333333333335</v>
      </c>
      <c r="AL9" t="s">
        <v>145</v>
      </c>
      <c r="AM9">
        <f>AM6^2/(0.15*AM4)</f>
        <v>2520.8333333333335</v>
      </c>
      <c r="AO9" t="s">
        <v>145</v>
      </c>
      <c r="AP9">
        <f>AP6^2/(0.15*AP4)</f>
        <v>2520.8333333333335</v>
      </c>
      <c r="AR9" t="s">
        <v>145</v>
      </c>
      <c r="AS9">
        <f>AS6^2/(0.15*AS4)</f>
        <v>2520.8333333333335</v>
      </c>
      <c r="AU9" t="s">
        <v>145</v>
      </c>
      <c r="AV9">
        <f>AV6^2/(0.15*AV4)</f>
        <v>2520.8333333333335</v>
      </c>
      <c r="AX9" t="s">
        <v>145</v>
      </c>
      <c r="AY9">
        <f>AY6^2/(0.15*AY4)</f>
        <v>2520.8333333333335</v>
      </c>
      <c r="BA9" t="s">
        <v>145</v>
      </c>
      <c r="BB9">
        <f>BB6^2/(0.15*BB4)</f>
        <v>2520.8333333333335</v>
      </c>
      <c r="BD9" t="s">
        <v>145</v>
      </c>
      <c r="BE9">
        <f>BE6^2/(0.15*BE4)</f>
        <v>2520.8333333333335</v>
      </c>
      <c r="BG9" t="s">
        <v>145</v>
      </c>
      <c r="BH9">
        <f>BH6^2/(0.15*BH4)</f>
        <v>2520.8333333333335</v>
      </c>
    </row>
    <row r="10" spans="2:60" x14ac:dyDescent="0.25">
      <c r="B10" t="s">
        <v>146</v>
      </c>
      <c r="C10">
        <f>0.01*C4*C5^2/C6^2-0.01*C4</f>
        <v>3.1735537190082638E-2</v>
      </c>
      <c r="E10" t="s">
        <v>146</v>
      </c>
      <c r="F10">
        <f>0.01*F4*F5^2/F6^2-0.01*F4</f>
        <v>3.1735537190082638E-2</v>
      </c>
      <c r="H10" t="s">
        <v>146</v>
      </c>
      <c r="I10">
        <f>0.01*I4*I5^2/I6^2-0.01*I4</f>
        <v>3.1735537190082638E-2</v>
      </c>
      <c r="K10" t="s">
        <v>146</v>
      </c>
      <c r="L10">
        <f>0.01*L4*L5^2/L6^2-0.01*L4</f>
        <v>3.1735537190082638E-2</v>
      </c>
      <c r="N10" t="s">
        <v>146</v>
      </c>
      <c r="O10">
        <f>0.01*O4*O5^2/O6^2-0.01*O4</f>
        <v>3.1735537190082638E-2</v>
      </c>
      <c r="Q10" t="s">
        <v>146</v>
      </c>
      <c r="R10">
        <f>0.01*R4*R5^2/R6^2-0.01*R4</f>
        <v>3.1735537190082638E-2</v>
      </c>
      <c r="T10" t="s">
        <v>146</v>
      </c>
      <c r="U10">
        <f>0.01*U4*U5^2/U6^2-0.01*U4</f>
        <v>3.1735537190082638E-2</v>
      </c>
      <c r="W10" t="s">
        <v>146</v>
      </c>
      <c r="X10">
        <f>0.01*X4*X5^2/X6^2-0.01*X4</f>
        <v>3.1735537190082638E-2</v>
      </c>
      <c r="Z10" t="s">
        <v>146</v>
      </c>
      <c r="AA10">
        <f>0.01*AA4*AA5^2/AA6^2-0.01*AA4</f>
        <v>3.1735537190082638E-2</v>
      </c>
      <c r="AC10" t="s">
        <v>146</v>
      </c>
      <c r="AD10">
        <f>0.01*AD4*AD5^2/AD6^2-0.01*AD4</f>
        <v>3.1735537190082638E-2</v>
      </c>
      <c r="AF10" t="s">
        <v>146</v>
      </c>
      <c r="AG10">
        <f>0.01*AG4*AG5^2/AG6^2-0.01*AG4</f>
        <v>3.1735537190082638E-2</v>
      </c>
      <c r="AI10" t="s">
        <v>146</v>
      </c>
      <c r="AJ10">
        <f>0.01*AJ4*AJ5^2/AJ6^2-0.01*AJ4</f>
        <v>3.1735537190082638E-2</v>
      </c>
      <c r="AL10" t="s">
        <v>146</v>
      </c>
      <c r="AM10">
        <f>0.01*AM4*AM5^2/AM6^2-0.01*AM4</f>
        <v>3.1735537190082638E-2</v>
      </c>
      <c r="AO10" t="s">
        <v>146</v>
      </c>
      <c r="AP10">
        <f>0.01*AP4*AP5^2/AP6^2-0.01*AP4</f>
        <v>3.1735537190082638E-2</v>
      </c>
      <c r="AR10" t="s">
        <v>146</v>
      </c>
      <c r="AS10">
        <f>0.01*AS4*AS5^2/AS6^2-0.01*AS4</f>
        <v>3.1735537190082638E-2</v>
      </c>
      <c r="AU10" t="s">
        <v>146</v>
      </c>
      <c r="AV10">
        <f>0.01*AV4*AV5^2/AV6^2-0.01*AV4</f>
        <v>3.1735537190082638E-2</v>
      </c>
      <c r="AX10" t="s">
        <v>146</v>
      </c>
      <c r="AY10">
        <f>0.01*AY4*AY5^2/AY6^2-0.01*AY4</f>
        <v>3.1735537190082638E-2</v>
      </c>
      <c r="BA10" t="s">
        <v>146</v>
      </c>
      <c r="BB10">
        <f>0.01*BB4*BB5^2/BB6^2-0.01*BB4</f>
        <v>3.1735537190082638E-2</v>
      </c>
      <c r="BD10" t="s">
        <v>146</v>
      </c>
      <c r="BE10">
        <f>0.01*BE4*BE5^2/BE6^2-0.01*BE4</f>
        <v>3.1735537190082638E-2</v>
      </c>
      <c r="BG10" t="s">
        <v>146</v>
      </c>
      <c r="BH10">
        <f>0.01*BH4*BH5^2/BH6^2-0.01*BH4</f>
        <v>3.1735537190082638E-2</v>
      </c>
    </row>
    <row r="11" spans="2:60" x14ac:dyDescent="0.25">
      <c r="B11" t="s">
        <v>147</v>
      </c>
      <c r="C11">
        <f>C10*C9/5729.58</f>
        <v>1.3962629023418818E-2</v>
      </c>
      <c r="E11" t="s">
        <v>147</v>
      </c>
      <c r="F11">
        <f>F10*F9/5729.58</f>
        <v>1.3962629023418818E-2</v>
      </c>
      <c r="H11" t="s">
        <v>147</v>
      </c>
      <c r="I11">
        <f>I10*I9/5729.58</f>
        <v>1.3962629023418818E-2</v>
      </c>
      <c r="K11" t="s">
        <v>147</v>
      </c>
      <c r="L11">
        <f>L10*L9/5729.58</f>
        <v>1.3962629023418818E-2</v>
      </c>
      <c r="N11" t="s">
        <v>147</v>
      </c>
      <c r="O11">
        <f>O10*O9/5729.58</f>
        <v>1.3962629023418818E-2</v>
      </c>
      <c r="Q11" t="s">
        <v>147</v>
      </c>
      <c r="R11">
        <f>R10*R9/5729.58</f>
        <v>1.3962629023418818E-2</v>
      </c>
      <c r="T11" t="s">
        <v>147</v>
      </c>
      <c r="U11">
        <f>U10*U9/5729.58</f>
        <v>1.3962629023418818E-2</v>
      </c>
      <c r="W11" t="s">
        <v>147</v>
      </c>
      <c r="X11">
        <f>X10*X9/5729.58</f>
        <v>1.3962629023418818E-2</v>
      </c>
      <c r="Z11" t="s">
        <v>147</v>
      </c>
      <c r="AA11">
        <f>AA10*AA9/5729.58</f>
        <v>1.3962629023418818E-2</v>
      </c>
      <c r="AC11" t="s">
        <v>147</v>
      </c>
      <c r="AD11">
        <f>AD10*AD9/5729.58</f>
        <v>1.3962629023418818E-2</v>
      </c>
      <c r="AF11" t="s">
        <v>147</v>
      </c>
      <c r="AG11">
        <f>AG10*AG9/5729.58</f>
        <v>1.3962629023418818E-2</v>
      </c>
      <c r="AI11" t="s">
        <v>147</v>
      </c>
      <c r="AJ11">
        <f>AJ10*AJ9/5729.58</f>
        <v>1.3962629023418818E-2</v>
      </c>
      <c r="AL11" t="s">
        <v>147</v>
      </c>
      <c r="AM11">
        <f>AM10*AM9/5729.58</f>
        <v>1.3962629023418818E-2</v>
      </c>
      <c r="AO11" t="s">
        <v>147</v>
      </c>
      <c r="AP11">
        <f>AP10*AP9/5729.58</f>
        <v>1.3962629023418818E-2</v>
      </c>
      <c r="AR11" t="s">
        <v>147</v>
      </c>
      <c r="AS11">
        <f>AS10*AS9/5729.58</f>
        <v>1.3962629023418818E-2</v>
      </c>
      <c r="AU11" t="s">
        <v>147</v>
      </c>
      <c r="AV11">
        <f>AV10*AV9/5729.58</f>
        <v>1.3962629023418818E-2</v>
      </c>
      <c r="AX11" t="s">
        <v>147</v>
      </c>
      <c r="AY11">
        <f>AY10*AY9/5729.58</f>
        <v>1.3962629023418818E-2</v>
      </c>
      <c r="BA11" t="s">
        <v>147</v>
      </c>
      <c r="BB11">
        <f>BB10*BB9/5729.58</f>
        <v>1.3962629023418818E-2</v>
      </c>
      <c r="BD11" t="s">
        <v>147</v>
      </c>
      <c r="BE11">
        <f>BE10*BE9/5729.58</f>
        <v>1.3962629023418818E-2</v>
      </c>
      <c r="BG11" t="s">
        <v>147</v>
      </c>
      <c r="BH11">
        <f>BH10*BH9/5729.58</f>
        <v>1.3962629023418818E-2</v>
      </c>
    </row>
    <row r="12" spans="2:60" x14ac:dyDescent="0.25">
      <c r="B12" t="s">
        <v>148</v>
      </c>
      <c r="C12">
        <f>(C7-C10)/(5729.58*(1/C8-1/C9))</f>
        <v>4.9160089686620417E-2</v>
      </c>
      <c r="E12" t="s">
        <v>148</v>
      </c>
      <c r="F12">
        <f>(F7-F10)/(5729.58*(1/F8-1/F9))</f>
        <v>4.9160089686620417E-2</v>
      </c>
      <c r="H12" t="s">
        <v>148</v>
      </c>
      <c r="I12">
        <f>(I7-I10)/(5729.58*(1/I8-1/I9))</f>
        <v>4.9160089686620417E-2</v>
      </c>
      <c r="K12" t="s">
        <v>148</v>
      </c>
      <c r="L12">
        <f>(L7-L10)/(5729.58*(1/L8-1/L9))</f>
        <v>4.9160089686620417E-2</v>
      </c>
      <c r="N12" t="s">
        <v>148</v>
      </c>
      <c r="O12">
        <f>(O7-O10)/(5729.58*(1/O8-1/O9))</f>
        <v>4.9160089686620417E-2</v>
      </c>
      <c r="Q12" t="s">
        <v>148</v>
      </c>
      <c r="R12">
        <f>(R7-R10)/(5729.58*(1/R8-1/R9))</f>
        <v>4.9160089686620417E-2</v>
      </c>
      <c r="T12" t="s">
        <v>148</v>
      </c>
      <c r="U12">
        <f>(U7-U10)/(5729.58*(1/U8-1/U9))</f>
        <v>4.9160089686620417E-2</v>
      </c>
      <c r="W12" t="s">
        <v>148</v>
      </c>
      <c r="X12">
        <f>(X7-X10)/(5729.58*(1/X8-1/X9))</f>
        <v>4.9160089686620417E-2</v>
      </c>
      <c r="Z12" t="s">
        <v>148</v>
      </c>
      <c r="AA12">
        <f>(AA7-AA10)/(5729.58*(1/AA8-1/AA9))</f>
        <v>4.9160089686620417E-2</v>
      </c>
      <c r="AC12" t="s">
        <v>148</v>
      </c>
      <c r="AD12">
        <f>(AD7-AD10)/(5729.58*(1/AD8-1/AD9))</f>
        <v>4.9160089686620417E-2</v>
      </c>
      <c r="AF12" t="s">
        <v>148</v>
      </c>
      <c r="AG12">
        <f>(AG7-AG10)/(5729.58*(1/AG8-1/AG9))</f>
        <v>4.9160089686620417E-2</v>
      </c>
      <c r="AI12" t="s">
        <v>148</v>
      </c>
      <c r="AJ12">
        <f>(AJ7-AJ10)/(5729.58*(1/AJ8-1/AJ9))</f>
        <v>4.9160089686620417E-2</v>
      </c>
      <c r="AL12" t="s">
        <v>148</v>
      </c>
      <c r="AM12">
        <f>(AM7-AM10)/(5729.58*(1/AM8-1/AM9))</f>
        <v>4.9160089686620417E-2</v>
      </c>
      <c r="AO12" t="s">
        <v>148</v>
      </c>
      <c r="AP12">
        <f>(AP7-AP10)/(5729.58*(1/AP8-1/AP9))</f>
        <v>4.9160089686620417E-2</v>
      </c>
      <c r="AR12" t="s">
        <v>148</v>
      </c>
      <c r="AS12">
        <f>(AS7-AS10)/(5729.58*(1/AS8-1/AS9))</f>
        <v>4.9160089686620417E-2</v>
      </c>
      <c r="AU12" t="s">
        <v>148</v>
      </c>
      <c r="AV12">
        <f>(AV7-AV10)/(5729.58*(1/AV8-1/AV9))</f>
        <v>4.9160089686620417E-2</v>
      </c>
      <c r="AX12" t="s">
        <v>148</v>
      </c>
      <c r="AY12">
        <f>(AY7-AY10)/(5729.58*(1/AY8-1/AY9))</f>
        <v>4.9160089686620417E-2</v>
      </c>
      <c r="BA12" t="s">
        <v>148</v>
      </c>
      <c r="BB12">
        <f>(BB7-BB10)/(5729.58*(1/BB8-1/BB9))</f>
        <v>4.9160089686620417E-2</v>
      </c>
      <c r="BD12" t="s">
        <v>148</v>
      </c>
      <c r="BE12">
        <f>(BE7-BE10)/(5729.58*(1/BE8-1/BE9))</f>
        <v>4.9160089686620417E-2</v>
      </c>
      <c r="BG12" t="s">
        <v>148</v>
      </c>
      <c r="BH12">
        <f>(BH7-BH10)/(5729.58*(1/BH8-1/BH9))</f>
        <v>4.9160089686620417E-2</v>
      </c>
    </row>
    <row r="13" spans="2:60" x14ac:dyDescent="0.25">
      <c r="B13" t="s">
        <v>149</v>
      </c>
      <c r="C13">
        <f>5729.58/C9*(1/C8-1/C9)*(C12-C11)/2*C8</f>
        <v>1.6476729012614176E-2</v>
      </c>
      <c r="E13" t="s">
        <v>149</v>
      </c>
      <c r="F13">
        <f>5729.58/F9*(1/F8-1/F9)*(F12-F11)/2*F8</f>
        <v>1.6476729012614176E-2</v>
      </c>
      <c r="H13" t="s">
        <v>149</v>
      </c>
      <c r="I13">
        <f>5729.58/I9*(1/I8-1/I9)*(I12-I11)/2*I8</f>
        <v>1.6476729012614176E-2</v>
      </c>
      <c r="K13" t="s">
        <v>149</v>
      </c>
      <c r="L13">
        <f>5729.58/L9*(1/L8-1/L9)*(L12-L11)/2*L8</f>
        <v>1.6476729012614176E-2</v>
      </c>
      <c r="N13" t="s">
        <v>149</v>
      </c>
      <c r="O13">
        <f>5729.58/O9*(1/O8-1/O9)*(O12-O11)/2*O8</f>
        <v>1.6476729012614176E-2</v>
      </c>
      <c r="Q13" t="s">
        <v>149</v>
      </c>
      <c r="R13">
        <f>5729.58/R9*(1/R8-1/R9)*(R12-R11)/2*R8</f>
        <v>1.6476729012614176E-2</v>
      </c>
      <c r="T13" t="s">
        <v>149</v>
      </c>
      <c r="U13">
        <f>5729.58/U9*(1/U8-1/U9)*(U12-U11)/2*U8</f>
        <v>1.6476729012614176E-2</v>
      </c>
      <c r="W13" t="s">
        <v>149</v>
      </c>
      <c r="X13">
        <f>5729.58/X9*(1/X8-1/X9)*(X12-X11)/2*X8</f>
        <v>1.6476729012614176E-2</v>
      </c>
      <c r="Z13" t="s">
        <v>149</v>
      </c>
      <c r="AA13">
        <f>5729.58/AA9*(1/AA8-1/AA9)*(AA12-AA11)/2*AA8</f>
        <v>1.6476729012614176E-2</v>
      </c>
      <c r="AC13" t="s">
        <v>149</v>
      </c>
      <c r="AD13">
        <f>5729.58/AD9*(1/AD8-1/AD9)*(AD12-AD11)/2*AD8</f>
        <v>1.6476729012614176E-2</v>
      </c>
      <c r="AF13" t="s">
        <v>149</v>
      </c>
      <c r="AG13">
        <f>5729.58/AG9*(1/AG8-1/AG9)*(AG12-AG11)/2*AG8</f>
        <v>1.6476729012614176E-2</v>
      </c>
      <c r="AI13" t="s">
        <v>149</v>
      </c>
      <c r="AJ13">
        <f>5729.58/AJ9*(1/AJ8-1/AJ9)*(AJ12-AJ11)/2*AJ8</f>
        <v>1.6476729012614176E-2</v>
      </c>
      <c r="AL13" t="s">
        <v>149</v>
      </c>
      <c r="AM13">
        <f>5729.58/AM9*(1/AM8-1/AM9)*(AM12-AM11)/2*AM8</f>
        <v>1.6476729012614176E-2</v>
      </c>
      <c r="AO13" t="s">
        <v>149</v>
      </c>
      <c r="AP13">
        <f>5729.58/AP9*(1/AP8-1/AP9)*(AP12-AP11)/2*AP8</f>
        <v>1.6476729012614176E-2</v>
      </c>
      <c r="AR13" t="s">
        <v>149</v>
      </c>
      <c r="AS13">
        <f>5729.58/AS9*(1/AS8-1/AS9)*(AS12-AS11)/2*AS8</f>
        <v>1.6476729012614176E-2</v>
      </c>
      <c r="AU13" t="s">
        <v>149</v>
      </c>
      <c r="AV13">
        <f>5729.58/AV9*(1/AV8-1/AV9)*(AV12-AV11)/2*AV8</f>
        <v>1.6476729012614176E-2</v>
      </c>
      <c r="AX13" t="s">
        <v>149</v>
      </c>
      <c r="AY13">
        <f>5729.58/AY9*(1/AY8-1/AY9)*(AY12-AY11)/2*AY8</f>
        <v>1.6476729012614176E-2</v>
      </c>
      <c r="BA13" t="s">
        <v>149</v>
      </c>
      <c r="BB13">
        <f>5729.58/BB9*(1/BB8-1/BB9)*(BB12-BB11)/2*BB8</f>
        <v>1.6476729012614176E-2</v>
      </c>
      <c r="BD13" t="s">
        <v>149</v>
      </c>
      <c r="BE13">
        <f>5729.58/BE9*(1/BE8-1/BE9)*(BE12-BE11)/2*BE8</f>
        <v>1.6476729012614176E-2</v>
      </c>
      <c r="BG13" t="s">
        <v>149</v>
      </c>
      <c r="BH13">
        <f>5729.58/BH9*(1/BH8-1/BH9)*(BH12-BH11)/2*BH8</f>
        <v>1.6476729012614176E-2</v>
      </c>
    </row>
    <row r="14" spans="2:60" x14ac:dyDescent="0.25">
      <c r="B14" t="s">
        <v>150</v>
      </c>
      <c r="C14">
        <f>1/C3</f>
        <v>2.5000000000000001E-4</v>
      </c>
      <c r="E14" t="s">
        <v>150</v>
      </c>
      <c r="F14">
        <f>1/F3</f>
        <v>2.5000000000000001E-4</v>
      </c>
      <c r="H14" t="s">
        <v>150</v>
      </c>
      <c r="I14">
        <f>1/I3</f>
        <v>6.6666666666666664E-4</v>
      </c>
      <c r="K14" t="s">
        <v>150</v>
      </c>
      <c r="L14">
        <f>1/L3</f>
        <v>6.6666666666666664E-4</v>
      </c>
      <c r="N14" t="s">
        <v>150</v>
      </c>
      <c r="O14">
        <f>1/O3</f>
        <v>5.8823529411764701E-4</v>
      </c>
      <c r="Q14" t="s">
        <v>150</v>
      </c>
      <c r="R14">
        <f>1/R3</f>
        <v>5.8823529411764701E-4</v>
      </c>
      <c r="T14" t="s">
        <v>150</v>
      </c>
      <c r="U14">
        <f>1/U3</f>
        <v>8.3333333333333339E-4</v>
      </c>
      <c r="W14" t="s">
        <v>150</v>
      </c>
      <c r="X14">
        <f>1/X3</f>
        <v>8.3333333333333339E-4</v>
      </c>
      <c r="Z14" t="s">
        <v>150</v>
      </c>
      <c r="AA14" t="e">
        <f>1/AA3</f>
        <v>#DIV/0!</v>
      </c>
      <c r="AC14" t="s">
        <v>150</v>
      </c>
      <c r="AD14" t="e">
        <f>1/AD3</f>
        <v>#DIV/0!</v>
      </c>
      <c r="AF14" t="s">
        <v>150</v>
      </c>
      <c r="AG14" t="e">
        <f>1/AG3</f>
        <v>#DIV/0!</v>
      </c>
      <c r="AI14" t="s">
        <v>150</v>
      </c>
      <c r="AJ14" t="e">
        <f>1/AJ3</f>
        <v>#DIV/0!</v>
      </c>
      <c r="AL14" t="s">
        <v>150</v>
      </c>
      <c r="AM14" t="e">
        <f>1/AM3</f>
        <v>#DIV/0!</v>
      </c>
      <c r="AO14" t="s">
        <v>150</v>
      </c>
      <c r="AP14" t="e">
        <f>1/AP3</f>
        <v>#DIV/0!</v>
      </c>
      <c r="AR14" t="s">
        <v>150</v>
      </c>
      <c r="AS14" t="e">
        <f>1/AS3</f>
        <v>#DIV/0!</v>
      </c>
      <c r="AU14" t="s">
        <v>150</v>
      </c>
      <c r="AV14" t="e">
        <f>1/AV3</f>
        <v>#DIV/0!</v>
      </c>
      <c r="AX14" t="s">
        <v>150</v>
      </c>
      <c r="AY14" t="e">
        <f>1/AY3</f>
        <v>#DIV/0!</v>
      </c>
      <c r="BA14" t="s">
        <v>150</v>
      </c>
      <c r="BB14" t="e">
        <f>1/BB3</f>
        <v>#DIV/0!</v>
      </c>
      <c r="BD14" t="s">
        <v>150</v>
      </c>
      <c r="BE14" t="e">
        <f>1/BE3</f>
        <v>#DIV/0!</v>
      </c>
      <c r="BG14" t="s">
        <v>150</v>
      </c>
      <c r="BH14" t="e">
        <f>1/BH3</f>
        <v>#DIV/0!</v>
      </c>
    </row>
    <row r="15" spans="2:60" x14ac:dyDescent="0.25">
      <c r="B15" t="s">
        <v>151</v>
      </c>
      <c r="C15">
        <f>1/C9</f>
        <v>3.9669421487603304E-4</v>
      </c>
      <c r="E15" t="s">
        <v>151</v>
      </c>
      <c r="F15">
        <f>1/F9</f>
        <v>3.9669421487603304E-4</v>
      </c>
      <c r="H15" t="s">
        <v>151</v>
      </c>
      <c r="I15">
        <f>1/I9</f>
        <v>3.9669421487603304E-4</v>
      </c>
      <c r="K15" t="s">
        <v>151</v>
      </c>
      <c r="L15">
        <f>1/L9</f>
        <v>3.9669421487603304E-4</v>
      </c>
      <c r="N15" t="s">
        <v>151</v>
      </c>
      <c r="O15">
        <f>1/O9</f>
        <v>3.9669421487603304E-4</v>
      </c>
      <c r="Q15" t="s">
        <v>151</v>
      </c>
      <c r="R15">
        <f>1/R9</f>
        <v>3.9669421487603304E-4</v>
      </c>
      <c r="T15" t="s">
        <v>151</v>
      </c>
      <c r="U15">
        <f>1/U9</f>
        <v>3.9669421487603304E-4</v>
      </c>
      <c r="W15" t="s">
        <v>151</v>
      </c>
      <c r="X15">
        <f>1/X9</f>
        <v>3.9669421487603304E-4</v>
      </c>
      <c r="Z15" t="s">
        <v>151</v>
      </c>
      <c r="AA15">
        <f>1/AA9</f>
        <v>3.9669421487603304E-4</v>
      </c>
      <c r="AC15" t="s">
        <v>151</v>
      </c>
      <c r="AD15">
        <f>1/AD9</f>
        <v>3.9669421487603304E-4</v>
      </c>
      <c r="AF15" t="s">
        <v>151</v>
      </c>
      <c r="AG15">
        <f>1/AG9</f>
        <v>3.9669421487603304E-4</v>
      </c>
      <c r="AI15" t="s">
        <v>151</v>
      </c>
      <c r="AJ15">
        <f>1/AJ9</f>
        <v>3.9669421487603304E-4</v>
      </c>
      <c r="AL15" t="s">
        <v>151</v>
      </c>
      <c r="AM15">
        <f>1/AM9</f>
        <v>3.9669421487603304E-4</v>
      </c>
      <c r="AO15" t="s">
        <v>151</v>
      </c>
      <c r="AP15">
        <f>1/AP9</f>
        <v>3.9669421487603304E-4</v>
      </c>
      <c r="AR15" t="s">
        <v>151</v>
      </c>
      <c r="AS15">
        <f>1/AS9</f>
        <v>3.9669421487603304E-4</v>
      </c>
      <c r="AU15" t="s">
        <v>151</v>
      </c>
      <c r="AV15">
        <f>1/AV9</f>
        <v>3.9669421487603304E-4</v>
      </c>
      <c r="AX15" t="s">
        <v>151</v>
      </c>
      <c r="AY15">
        <f>1/AY9</f>
        <v>3.9669421487603304E-4</v>
      </c>
      <c r="BA15" t="s">
        <v>151</v>
      </c>
      <c r="BB15">
        <f>1/BB9</f>
        <v>3.9669421487603304E-4</v>
      </c>
      <c r="BD15" t="s">
        <v>151</v>
      </c>
      <c r="BE15">
        <f>1/BE9</f>
        <v>3.9669421487603304E-4</v>
      </c>
      <c r="BG15" t="s">
        <v>151</v>
      </c>
      <c r="BH15">
        <f>1/BH9</f>
        <v>3.9669421487603304E-4</v>
      </c>
    </row>
    <row r="16" spans="2:60" x14ac:dyDescent="0.25">
      <c r="B16" t="s">
        <v>152</v>
      </c>
      <c r="C16">
        <f>IF(C14&lt;=C15,C13*(C9/C3)^2+5729.58*C11/C3,C13*((1/C8-1/C3)/(1/C8-1/C9))^2+C10+5729.58*C12*(1/C3-1/C9))</f>
        <v>2.6543939601608182E-2</v>
      </c>
      <c r="E16" t="s">
        <v>152</v>
      </c>
      <c r="F16">
        <f>IF(F14&lt;=F15,F13*(F9/F3)^2+5729.58*F11/F3,F13*((1/F8-1/F3)/(1/F8-1/F9))^2+F10+5729.58*F12*(1/F3-1/F9))</f>
        <v>2.6543939601608182E-2</v>
      </c>
      <c r="H16" t="s">
        <v>152</v>
      </c>
      <c r="I16">
        <f>IF(I14&lt;=I15,I13*(I9/I3)^2+5729.58*I11/I3,I13*((1/I8-1/I3)/(1/I8-1/I9))^2+I10+5729.58*I12*(1/I3-1/I9))</f>
        <v>0.10779106140728251</v>
      </c>
      <c r="K16" t="s">
        <v>152</v>
      </c>
      <c r="L16">
        <f>IF(L14&lt;=L15,L13*(L9/L3)^2+5729.58*L11/L3,L13*((1/L8-1/L3)/(1/L8-1/L9))^2+L10+5729.58*L12*(1/L3-1/L9))</f>
        <v>0.10779106140728251</v>
      </c>
      <c r="N16" t="s">
        <v>152</v>
      </c>
      <c r="O16">
        <f>IF(O14&lt;=O15,O13*(O9/O3)^2+5729.58*O11/O3,O13*((1/O8-1/O3)/(1/O8-1/O9))^2+O10+5729.58*O12*(1/O3-1/O9))</f>
        <v>8.7276449064635803E-2</v>
      </c>
      <c r="Q16" t="s">
        <v>152</v>
      </c>
      <c r="R16">
        <f>IF(R14&lt;=R15,R13*(R9/R3)^2+5729.58*R11/R3,R13*((1/R8-1/R3)/(1/R8-1/R9))^2+R10+5729.58*R12*(1/R3-1/R9))</f>
        <v>8.7276449064635803E-2</v>
      </c>
      <c r="T16" t="s">
        <v>152</v>
      </c>
      <c r="U16">
        <f>IF(U14&lt;=U15,U13*(U9/U3)^2+5729.58*U11/U3,U13*((1/U8-1/U3)/(1/U8-1/U9))^2+U10+5729.58*U12*(1/U3-1/U9))</f>
        <v>0.16010229972835799</v>
      </c>
      <c r="W16" t="s">
        <v>152</v>
      </c>
      <c r="X16">
        <f>IF(X14&lt;=X15,X13*(X9/X3)^2+5729.58*X11/X3,X13*((1/X8-1/X3)/(1/X8-1/X9))^2+X10+5729.58*X12*(1/X3-1/X9))</f>
        <v>0.16010229972835799</v>
      </c>
      <c r="Z16" t="s">
        <v>152</v>
      </c>
      <c r="AA16" t="e">
        <f>IF(AA14&lt;=AA15,AA13*(AA9/AA3)^2+5729.58*AA11/AA3,AA13*((1/AA8-1/AA3)/(1/AA8-1/AA9))^2+AA10+5729.58*AA12*(1/AA3-1/AA9))</f>
        <v>#DIV/0!</v>
      </c>
      <c r="AC16" t="s">
        <v>152</v>
      </c>
      <c r="AD16" t="e">
        <f>IF(AD14&lt;=AD15,AD13*(AD9/AD3)^2+5729.58*AD11/AD3,AD13*((1/AD8-1/AD3)/(1/AD8-1/AD9))^2+AD10+5729.58*AD12*(1/AD3-1/AD9))</f>
        <v>#DIV/0!</v>
      </c>
      <c r="AF16" t="s">
        <v>152</v>
      </c>
      <c r="AG16" t="e">
        <f>IF(AG14&lt;=AG15,AG13*(AG9/AG3)^2+5729.58*AG11/AG3,AG13*((1/AG8-1/AG3)/(1/AG8-1/AG9))^2+AG10+5729.58*AG12*(1/AG3-1/AG9))</f>
        <v>#DIV/0!</v>
      </c>
      <c r="AI16" t="s">
        <v>152</v>
      </c>
      <c r="AJ16" t="e">
        <f>IF(AJ14&lt;=AJ15,AJ13*(AJ9/AJ3)^2+5729.58*AJ11/AJ3,AJ13*((1/AJ8-1/AJ3)/(1/AJ8-1/AJ9))^2+AJ10+5729.58*AJ12*(1/AJ3-1/AJ9))</f>
        <v>#DIV/0!</v>
      </c>
      <c r="AL16" t="s">
        <v>152</v>
      </c>
      <c r="AM16" t="e">
        <f>IF(AM14&lt;=AM15,AM13*(AM9/AM3)^2+5729.58*AM11/AM3,AM13*((1/AM8-1/AM3)/(1/AM8-1/AM9))^2+AM10+5729.58*AM12*(1/AM3-1/AM9))</f>
        <v>#DIV/0!</v>
      </c>
      <c r="AO16" t="s">
        <v>152</v>
      </c>
      <c r="AP16" t="e">
        <f>IF(AP14&lt;=AP15,AP13*(AP9/AP3)^2+5729.58*AP11/AP3,AP13*((1/AP8-1/AP3)/(1/AP8-1/AP9))^2+AP10+5729.58*AP12*(1/AP3-1/AP9))</f>
        <v>#DIV/0!</v>
      </c>
      <c r="AR16" t="s">
        <v>152</v>
      </c>
      <c r="AS16" t="e">
        <f>IF(AS14&lt;=AS15,AS13*(AS9/AS3)^2+5729.58*AS11/AS3,AS13*((1/AS8-1/AS3)/(1/AS8-1/AS9))^2+AS10+5729.58*AS12*(1/AS3-1/AS9))</f>
        <v>#DIV/0!</v>
      </c>
      <c r="AU16" t="s">
        <v>152</v>
      </c>
      <c r="AV16" t="e">
        <f>IF(AV14&lt;=AV15,AV13*(AV9/AV3)^2+5729.58*AV11/AV3,AV13*((1/AV8-1/AV3)/(1/AV8-1/AV9))^2+AV10+5729.58*AV12*(1/AV3-1/AV9))</f>
        <v>#DIV/0!</v>
      </c>
      <c r="AX16" t="s">
        <v>152</v>
      </c>
      <c r="AY16" t="e">
        <f>IF(AY14&lt;=AY15,AY13*(AY9/AY3)^2+5729.58*AY11/AY3,AY13*((1/AY8-1/AY3)/(1/AY8-1/AY9))^2+AY10+5729.58*AY12*(1/AY3-1/AY9))</f>
        <v>#DIV/0!</v>
      </c>
      <c r="BA16" t="s">
        <v>152</v>
      </c>
      <c r="BB16" t="e">
        <f>IF(BB14&lt;=BB15,BB13*(BB9/BB3)^2+5729.58*BB11/BB3,BB13*((1/BB8-1/BB3)/(1/BB8-1/BB9))^2+BB10+5729.58*BB12*(1/BB3-1/BB9))</f>
        <v>#DIV/0!</v>
      </c>
      <c r="BD16" t="s">
        <v>152</v>
      </c>
      <c r="BE16" t="e">
        <f>IF(BE14&lt;=BE15,BE13*(BE9/BE3)^2+5729.58*BE11/BE3,BE13*((1/BE8-1/BE3)/(1/BE8-1/BE9))^2+BE10+5729.58*BE12*(1/BE3-1/BE9))</f>
        <v>#DIV/0!</v>
      </c>
      <c r="BG16" t="s">
        <v>152</v>
      </c>
      <c r="BH16" t="e">
        <f>IF(BH14&lt;=BH15,BH13*(BH9/BH3)^2+5729.58*BH11/BH3,BH13*((1/BH8-1/BH3)/(1/BH8-1/BH9))^2+BH10+5729.58*BH12*(1/BH3-1/BH9))</f>
        <v>#DIV/0!</v>
      </c>
    </row>
    <row r="17" spans="2:60" x14ac:dyDescent="0.25">
      <c r="B17" t="s">
        <v>154</v>
      </c>
      <c r="C17">
        <f>(C5^2/(15*C3)-C16)*100</f>
        <v>4.3872727065058488</v>
      </c>
      <c r="E17" t="s">
        <v>154</v>
      </c>
      <c r="F17">
        <f>(F5^2/(15*F3)-F16)*100</f>
        <v>4.3872727065058488</v>
      </c>
      <c r="H17" t="s">
        <v>154</v>
      </c>
      <c r="I17">
        <f>(I5^2/(15*I3)-I16)*100</f>
        <v>7.9986716370495259</v>
      </c>
      <c r="K17" t="s">
        <v>154</v>
      </c>
      <c r="L17">
        <f>(L5^2/(15*L3)-L16)*100</f>
        <v>7.9986716370495259</v>
      </c>
      <c r="N17" t="s">
        <v>154</v>
      </c>
      <c r="O17">
        <f>(O5^2/(15*O3)-O16)*100</f>
        <v>7.8409825445168115</v>
      </c>
      <c r="Q17" t="s">
        <v>154</v>
      </c>
      <c r="R17">
        <f>(R5^2/(15*R3)-R16)*100</f>
        <v>7.8409825445168115</v>
      </c>
      <c r="T17" t="s">
        <v>154</v>
      </c>
      <c r="U17">
        <f>(U5^2/(15*U3)-U16)*100</f>
        <v>7.461992249386423</v>
      </c>
      <c r="W17" t="s">
        <v>154</v>
      </c>
      <c r="X17">
        <f>(X5^2/(15*X3)-X16)*100</f>
        <v>7.461992249386423</v>
      </c>
      <c r="Z17" t="s">
        <v>154</v>
      </c>
      <c r="AA17" t="e">
        <f>(AA5^2/(15*AA3)-AA16)*100</f>
        <v>#DIV/0!</v>
      </c>
      <c r="AC17" t="s">
        <v>154</v>
      </c>
      <c r="AD17" t="e">
        <f>(AD5^2/(15*AD3)-AD16)*100</f>
        <v>#DIV/0!</v>
      </c>
      <c r="AF17" t="s">
        <v>154</v>
      </c>
      <c r="AG17" t="e">
        <f>(AG5^2/(15*AG3)-AG16)*100</f>
        <v>#DIV/0!</v>
      </c>
      <c r="AI17" t="s">
        <v>154</v>
      </c>
      <c r="AJ17" t="e">
        <f>(AJ5^2/(15*AJ3)-AJ16)*100</f>
        <v>#DIV/0!</v>
      </c>
      <c r="AL17" t="s">
        <v>154</v>
      </c>
      <c r="AM17" t="e">
        <f>(AM5^2/(15*AM3)-AM16)*100</f>
        <v>#DIV/0!</v>
      </c>
      <c r="AO17" t="s">
        <v>154</v>
      </c>
      <c r="AP17" t="e">
        <f>(AP5^2/(15*AP3)-AP16)*100</f>
        <v>#DIV/0!</v>
      </c>
      <c r="AR17" t="s">
        <v>154</v>
      </c>
      <c r="AS17" t="e">
        <f>(AS5^2/(15*AS3)-AS16)*100</f>
        <v>#DIV/0!</v>
      </c>
      <c r="AU17" t="s">
        <v>154</v>
      </c>
      <c r="AV17" t="e">
        <f>(AV5^2/(15*AV3)-AV16)*100</f>
        <v>#DIV/0!</v>
      </c>
      <c r="AX17" t="s">
        <v>154</v>
      </c>
      <c r="AY17" t="e">
        <f>(AY5^2/(15*AY3)-AY16)*100</f>
        <v>#DIV/0!</v>
      </c>
      <c r="BA17" t="s">
        <v>154</v>
      </c>
      <c r="BB17" t="e">
        <f>(BB5^2/(15*BB3)-BB16)*100</f>
        <v>#DIV/0!</v>
      </c>
      <c r="BD17" t="s">
        <v>154</v>
      </c>
      <c r="BE17" t="e">
        <f>(BE5^2/(15*BE3)-BE16)*100</f>
        <v>#DIV/0!</v>
      </c>
      <c r="BG17" t="s">
        <v>154</v>
      </c>
      <c r="BH17" t="e">
        <f>(BH5^2/(15*BH3)-BH16)*100</f>
        <v>#DIV/0!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dimension ref="B1:BH17"/>
  <sheetViews>
    <sheetView workbookViewId="0">
      <selection activeCell="I4" sqref="I4"/>
    </sheetView>
  </sheetViews>
  <sheetFormatPr defaultRowHeight="15" x14ac:dyDescent="0.25"/>
  <sheetData>
    <row r="1" spans="2:60" x14ac:dyDescent="0.25">
      <c r="B1" t="s">
        <v>68</v>
      </c>
      <c r="C1" t="s">
        <v>281</v>
      </c>
      <c r="E1" t="s">
        <v>68</v>
      </c>
      <c r="F1" t="s">
        <v>282</v>
      </c>
      <c r="H1" t="s">
        <v>69</v>
      </c>
      <c r="I1" t="s">
        <v>281</v>
      </c>
      <c r="K1" t="s">
        <v>69</v>
      </c>
      <c r="L1" t="s">
        <v>282</v>
      </c>
      <c r="N1" t="s">
        <v>80</v>
      </c>
      <c r="O1" t="s">
        <v>281</v>
      </c>
      <c r="Q1" t="s">
        <v>80</v>
      </c>
      <c r="R1" t="s">
        <v>282</v>
      </c>
      <c r="T1" t="s">
        <v>161</v>
      </c>
      <c r="U1" t="s">
        <v>281</v>
      </c>
      <c r="W1" t="s">
        <v>161</v>
      </c>
      <c r="X1" t="s">
        <v>282</v>
      </c>
      <c r="Z1" t="s">
        <v>238</v>
      </c>
      <c r="AA1" t="s">
        <v>281</v>
      </c>
      <c r="AC1" t="s">
        <v>238</v>
      </c>
      <c r="AD1" t="s">
        <v>282</v>
      </c>
      <c r="AF1" t="s">
        <v>239</v>
      </c>
      <c r="AG1" t="s">
        <v>281</v>
      </c>
      <c r="AI1" t="s">
        <v>239</v>
      </c>
      <c r="AJ1" t="s">
        <v>282</v>
      </c>
      <c r="AL1" t="s">
        <v>240</v>
      </c>
      <c r="AM1" t="s">
        <v>281</v>
      </c>
      <c r="AO1" t="s">
        <v>240</v>
      </c>
      <c r="AP1" t="s">
        <v>282</v>
      </c>
      <c r="AR1" t="s">
        <v>241</v>
      </c>
      <c r="AS1" t="s">
        <v>281</v>
      </c>
      <c r="AU1" t="s">
        <v>241</v>
      </c>
      <c r="AV1" t="s">
        <v>282</v>
      </c>
      <c r="AX1" t="s">
        <v>242</v>
      </c>
      <c r="AY1" t="s">
        <v>281</v>
      </c>
      <c r="BA1" t="s">
        <v>242</v>
      </c>
      <c r="BB1" t="s">
        <v>282</v>
      </c>
      <c r="BD1" t="s">
        <v>243</v>
      </c>
      <c r="BE1" t="s">
        <v>281</v>
      </c>
      <c r="BG1" t="s">
        <v>243</v>
      </c>
      <c r="BH1" t="s">
        <v>282</v>
      </c>
    </row>
    <row r="2" spans="2:60" x14ac:dyDescent="0.25">
      <c r="B2" t="s">
        <v>140</v>
      </c>
      <c r="C2">
        <f>'R2U_Project'!$M$16</f>
        <v>45</v>
      </c>
      <c r="E2" t="s">
        <v>140</v>
      </c>
      <c r="F2">
        <f>'R2U_Project'!$M$16</f>
        <v>45</v>
      </c>
      <c r="H2" t="s">
        <v>140</v>
      </c>
      <c r="I2">
        <f>'R2U_Project'!$M$16</f>
        <v>45</v>
      </c>
      <c r="K2" t="s">
        <v>140</v>
      </c>
      <c r="L2">
        <f>'R2U_Project'!$M$16</f>
        <v>45</v>
      </c>
      <c r="N2" t="s">
        <v>140</v>
      </c>
      <c r="O2">
        <f>'R2U_Project'!$M$16</f>
        <v>45</v>
      </c>
      <c r="Q2" t="s">
        <v>140</v>
      </c>
      <c r="R2">
        <f>'R2U_Project'!$M$16</f>
        <v>45</v>
      </c>
      <c r="T2" t="s">
        <v>140</v>
      </c>
      <c r="U2">
        <f>'R2U_Project'!$M$16</f>
        <v>45</v>
      </c>
      <c r="W2" t="s">
        <v>140</v>
      </c>
      <c r="X2">
        <f>'R2U_Project'!$M$16</f>
        <v>45</v>
      </c>
      <c r="Z2" t="s">
        <v>140</v>
      </c>
      <c r="AA2">
        <f>'R2U_Project'!$M$16</f>
        <v>45</v>
      </c>
      <c r="AC2" t="s">
        <v>140</v>
      </c>
      <c r="AD2">
        <f>'R2U_Project'!$M$16</f>
        <v>45</v>
      </c>
      <c r="AF2" t="s">
        <v>140</v>
      </c>
      <c r="AG2">
        <f>'R2U_Project'!$M$16</f>
        <v>45</v>
      </c>
      <c r="AI2" t="s">
        <v>140</v>
      </c>
      <c r="AJ2">
        <f>'R2U_Project'!$M$16</f>
        <v>45</v>
      </c>
      <c r="AL2" t="s">
        <v>140</v>
      </c>
      <c r="AM2">
        <f>'R2U_Project'!$M$16</f>
        <v>45</v>
      </c>
      <c r="AO2" t="s">
        <v>140</v>
      </c>
      <c r="AP2">
        <f>'R2U_Project'!$M$16</f>
        <v>45</v>
      </c>
      <c r="AR2" t="s">
        <v>140</v>
      </c>
      <c r="AS2">
        <f>'R2U_Project'!$M$16</f>
        <v>45</v>
      </c>
      <c r="AU2" t="s">
        <v>140</v>
      </c>
      <c r="AV2">
        <f>'R2U_Project'!$M$16</f>
        <v>45</v>
      </c>
      <c r="AX2" t="s">
        <v>140</v>
      </c>
      <c r="AY2">
        <f>'R2U_Project'!$M$16</f>
        <v>45</v>
      </c>
      <c r="BA2" t="s">
        <v>140</v>
      </c>
      <c r="BB2">
        <f>'R2U_Project'!$M$16</f>
        <v>45</v>
      </c>
      <c r="BD2" t="s">
        <v>140</v>
      </c>
      <c r="BE2">
        <f>'R2U_Project'!$M$16</f>
        <v>45</v>
      </c>
      <c r="BG2" t="s">
        <v>140</v>
      </c>
      <c r="BH2">
        <f>'R2U_Project'!$M$16</f>
        <v>45</v>
      </c>
    </row>
    <row r="3" spans="2:60" x14ac:dyDescent="0.25">
      <c r="B3" t="s">
        <v>141</v>
      </c>
      <c r="C3">
        <f>'R2U_Project'!L19</f>
        <v>765</v>
      </c>
      <c r="E3" t="s">
        <v>141</v>
      </c>
      <c r="F3">
        <f>'R2U_Project'!L19</f>
        <v>765</v>
      </c>
      <c r="H3" t="s">
        <v>141</v>
      </c>
      <c r="I3">
        <f>'R2U_Project'!L20</f>
        <v>933</v>
      </c>
      <c r="K3" t="s">
        <v>141</v>
      </c>
      <c r="L3">
        <f>'R2U_Project'!L20</f>
        <v>933</v>
      </c>
      <c r="N3" t="s">
        <v>141</v>
      </c>
      <c r="O3">
        <f>'R2U_Project'!L21</f>
        <v>933</v>
      </c>
      <c r="Q3" t="s">
        <v>141</v>
      </c>
      <c r="R3">
        <f>'R2U_Project'!L21</f>
        <v>933</v>
      </c>
      <c r="T3" t="s">
        <v>141</v>
      </c>
      <c r="U3">
        <f>'R2U_Project'!L22</f>
        <v>933</v>
      </c>
      <c r="W3" t="s">
        <v>141</v>
      </c>
      <c r="X3">
        <f>'R2U_Project'!L22</f>
        <v>933</v>
      </c>
      <c r="Z3" t="s">
        <v>141</v>
      </c>
      <c r="AA3">
        <f>'R2U_Project'!L23</f>
        <v>933</v>
      </c>
      <c r="AC3" t="s">
        <v>141</v>
      </c>
      <c r="AD3">
        <f>'R2U_Project'!L23</f>
        <v>933</v>
      </c>
      <c r="AF3" t="s">
        <v>141</v>
      </c>
      <c r="AG3">
        <f>'R2U_Project'!L24</f>
        <v>933</v>
      </c>
      <c r="AI3" t="s">
        <v>141</v>
      </c>
      <c r="AJ3">
        <f>'R2U_Project'!L24</f>
        <v>933</v>
      </c>
      <c r="AL3" t="s">
        <v>141</v>
      </c>
      <c r="AM3">
        <f>'R2U_Project'!L25</f>
        <v>933</v>
      </c>
      <c r="AO3" t="s">
        <v>141</v>
      </c>
      <c r="AP3">
        <f>'R2U_Project'!L25</f>
        <v>933</v>
      </c>
      <c r="AR3" t="s">
        <v>141</v>
      </c>
      <c r="AS3">
        <f>'R2U_Project'!L26</f>
        <v>933</v>
      </c>
      <c r="AU3" t="s">
        <v>141</v>
      </c>
      <c r="AV3">
        <f>'R2U_Project'!L26</f>
        <v>933</v>
      </c>
      <c r="AX3" t="s">
        <v>141</v>
      </c>
      <c r="AY3">
        <f>'R2U_Project'!L27</f>
        <v>933</v>
      </c>
      <c r="BA3" t="s">
        <v>141</v>
      </c>
      <c r="BB3">
        <f>'R2U_Project'!L27</f>
        <v>933</v>
      </c>
      <c r="BD3" t="s">
        <v>141</v>
      </c>
      <c r="BE3">
        <f>'R2U_Project'!L28</f>
        <v>933</v>
      </c>
      <c r="BG3" t="s">
        <v>141</v>
      </c>
      <c r="BH3">
        <f>'R2U_Project'!L28</f>
        <v>933</v>
      </c>
    </row>
    <row r="4" spans="2:60" x14ac:dyDescent="0.25">
      <c r="B4" t="s">
        <v>142</v>
      </c>
      <c r="C4" s="120">
        <f>'R2U_Project'!$M$15*100</f>
        <v>8</v>
      </c>
      <c r="E4" t="s">
        <v>142</v>
      </c>
      <c r="F4" s="120">
        <f>'R2U_Project'!$M$15*100</f>
        <v>8</v>
      </c>
      <c r="H4" t="s">
        <v>142</v>
      </c>
      <c r="I4" s="120">
        <f>'R2U_Project'!$M$15*100</f>
        <v>8</v>
      </c>
      <c r="K4" t="s">
        <v>142</v>
      </c>
      <c r="L4" s="120">
        <f>'R2U_Project'!$M$15*100</f>
        <v>8</v>
      </c>
      <c r="N4" t="s">
        <v>142</v>
      </c>
      <c r="O4" s="120">
        <f>'R2U_Project'!$M$15*100</f>
        <v>8</v>
      </c>
      <c r="Q4" t="s">
        <v>142</v>
      </c>
      <c r="R4" s="120">
        <f>'R2U_Project'!$M$15*100</f>
        <v>8</v>
      </c>
      <c r="T4" t="s">
        <v>142</v>
      </c>
      <c r="U4" s="120">
        <f>'R2U_Project'!$M$15*100</f>
        <v>8</v>
      </c>
      <c r="W4" t="s">
        <v>142</v>
      </c>
      <c r="X4" s="120">
        <f>'R2U_Project'!$M$15*100</f>
        <v>8</v>
      </c>
      <c r="Z4" t="s">
        <v>142</v>
      </c>
      <c r="AA4" s="120">
        <f>'R2U_Project'!$M$15*100</f>
        <v>8</v>
      </c>
      <c r="AC4" t="s">
        <v>142</v>
      </c>
      <c r="AD4" s="120">
        <f>'R2U_Project'!$M$15*100</f>
        <v>8</v>
      </c>
      <c r="AF4" t="s">
        <v>142</v>
      </c>
      <c r="AG4" s="120">
        <f>'R2U_Project'!$M$15*100</f>
        <v>8</v>
      </c>
      <c r="AI4" t="s">
        <v>142</v>
      </c>
      <c r="AJ4" s="120">
        <f>'R2U_Project'!$M$15*100</f>
        <v>8</v>
      </c>
      <c r="AL4" t="s">
        <v>142</v>
      </c>
      <c r="AM4" s="120">
        <f>'R2U_Project'!$M$15*100</f>
        <v>8</v>
      </c>
      <c r="AO4" t="s">
        <v>142</v>
      </c>
      <c r="AP4" s="120">
        <f>'R2U_Project'!$M$15*100</f>
        <v>8</v>
      </c>
      <c r="AR4" t="s">
        <v>142</v>
      </c>
      <c r="AS4" s="120">
        <f>'R2U_Project'!$M$15*100</f>
        <v>8</v>
      </c>
      <c r="AU4" t="s">
        <v>142</v>
      </c>
      <c r="AV4" s="120">
        <f>'R2U_Project'!$M$15*100</f>
        <v>8</v>
      </c>
      <c r="AX4" t="s">
        <v>142</v>
      </c>
      <c r="AY4" s="120">
        <f>'R2U_Project'!$M$15*100</f>
        <v>8</v>
      </c>
      <c r="BA4" t="s">
        <v>142</v>
      </c>
      <c r="BB4" s="120">
        <f>'R2U_Project'!$M$15*100</f>
        <v>8</v>
      </c>
      <c r="BD4" t="s">
        <v>142</v>
      </c>
      <c r="BE4" s="120">
        <f>'R2U_Project'!$M$15*100</f>
        <v>8</v>
      </c>
      <c r="BG4" t="s">
        <v>142</v>
      </c>
      <c r="BH4" s="120">
        <f>'R2U_Project'!$M$15*100</f>
        <v>8</v>
      </c>
    </row>
    <row r="5" spans="2:60" x14ac:dyDescent="0.25">
      <c r="B5" t="s">
        <v>153</v>
      </c>
      <c r="C5">
        <f>IF(C2&lt;=10,10,IF(C2&lt;=15,15,IF(C2&lt;=20,20,IF(C2&lt;=25,25,IF(C2&lt;=30,30,IF(C2&lt;=35,35,IF(C2&lt;=40,40,IF(C2&lt;=45,45,IF(C2&lt;=50,50,IF(C2&lt;=55,55,IF(C2&lt;=60,60,IF(C2&lt;=65,65,IF(C2&lt;=70,70,IF(C2&lt;=75,75,IF(C2&lt;=80,80,80)))))))))))))))</f>
        <v>45</v>
      </c>
      <c r="E5" t="s">
        <v>153</v>
      </c>
      <c r="F5">
        <f>IF(F2&lt;=10,10,IF(F2&lt;=15,15,IF(F2&lt;=20,20,IF(F2&lt;=25,25,IF(F2&lt;=30,30,IF(F2&lt;=35,35,IF(F2&lt;=40,40,IF(F2&lt;=45,45,IF(F2&lt;=50,50,IF(F2&lt;=55,55,IF(F2&lt;=60,60,IF(F2&lt;=65,65,IF(F2&lt;=70,70,IF(F2&lt;=75,75,IF(F2&lt;=80,80,80)))))))))))))))</f>
        <v>45</v>
      </c>
      <c r="H5" t="s">
        <v>153</v>
      </c>
      <c r="I5">
        <f>IF(I2&lt;=10,10,IF(I2&lt;=15,15,IF(I2&lt;=20,20,IF(I2&lt;=25,25,IF(I2&lt;=30,30,IF(I2&lt;=35,35,IF(I2&lt;=40,40,IF(I2&lt;=45,45,IF(I2&lt;=50,50,IF(I2&lt;=55,55,IF(I2&lt;=60,60,IF(I2&lt;=65,65,IF(I2&lt;=70,70,IF(I2&lt;=75,75,IF(I2&lt;=80,80,80)))))))))))))))</f>
        <v>45</v>
      </c>
      <c r="K5" t="s">
        <v>153</v>
      </c>
      <c r="L5">
        <f>IF(L2&lt;=10,10,IF(L2&lt;=15,15,IF(L2&lt;=20,20,IF(L2&lt;=25,25,IF(L2&lt;=30,30,IF(L2&lt;=35,35,IF(L2&lt;=40,40,IF(L2&lt;=45,45,IF(L2&lt;=50,50,IF(L2&lt;=55,55,IF(L2&lt;=60,60,IF(L2&lt;=65,65,IF(L2&lt;=70,70,IF(L2&lt;=75,75,IF(L2&lt;=80,80,80)))))))))))))))</f>
        <v>45</v>
      </c>
      <c r="N5" t="s">
        <v>153</v>
      </c>
      <c r="O5">
        <f>IF(O2&lt;=10,10,IF(O2&lt;=15,15,IF(O2&lt;=20,20,IF(O2&lt;=25,25,IF(O2&lt;=30,30,IF(O2&lt;=35,35,IF(O2&lt;=40,40,IF(O2&lt;=45,45,IF(O2&lt;=50,50,IF(O2&lt;=55,55,IF(O2&lt;=60,60,IF(O2&lt;=65,65,IF(O2&lt;=70,70,IF(O2&lt;=75,75,IF(O2&lt;=80,80,80)))))))))))))))</f>
        <v>45</v>
      </c>
      <c r="Q5" t="s">
        <v>153</v>
      </c>
      <c r="R5">
        <f>IF(R2&lt;=10,10,IF(R2&lt;=15,15,IF(R2&lt;=20,20,IF(R2&lt;=25,25,IF(R2&lt;=30,30,IF(R2&lt;=35,35,IF(R2&lt;=40,40,IF(R2&lt;=45,45,IF(R2&lt;=50,50,IF(R2&lt;=55,55,IF(R2&lt;=60,60,IF(R2&lt;=65,65,IF(R2&lt;=70,70,IF(R2&lt;=75,75,IF(R2&lt;=80,80,80)))))))))))))))</f>
        <v>45</v>
      </c>
      <c r="T5" t="s">
        <v>153</v>
      </c>
      <c r="U5">
        <f>IF(U2&lt;=10,10,IF(U2&lt;=15,15,IF(U2&lt;=20,20,IF(U2&lt;=25,25,IF(U2&lt;=30,30,IF(U2&lt;=35,35,IF(U2&lt;=40,40,IF(U2&lt;=45,45,IF(U2&lt;=50,50,IF(U2&lt;=55,55,IF(U2&lt;=60,60,IF(U2&lt;=65,65,IF(U2&lt;=70,70,IF(U2&lt;=75,75,IF(U2&lt;=80,80,80)))))))))))))))</f>
        <v>45</v>
      </c>
      <c r="W5" t="s">
        <v>153</v>
      </c>
      <c r="X5">
        <f>IF(X2&lt;=10,10,IF(X2&lt;=15,15,IF(X2&lt;=20,20,IF(X2&lt;=25,25,IF(X2&lt;=30,30,IF(X2&lt;=35,35,IF(X2&lt;=40,40,IF(X2&lt;=45,45,IF(X2&lt;=50,50,IF(X2&lt;=55,55,IF(X2&lt;=60,60,IF(X2&lt;=65,65,IF(X2&lt;=70,70,IF(X2&lt;=75,75,IF(X2&lt;=80,80,80)))))))))))))))</f>
        <v>45</v>
      </c>
      <c r="Z5" t="s">
        <v>153</v>
      </c>
      <c r="AA5">
        <f>IF(AA2&lt;=10,10,IF(AA2&lt;=15,15,IF(AA2&lt;=20,20,IF(AA2&lt;=25,25,IF(AA2&lt;=30,30,IF(AA2&lt;=35,35,IF(AA2&lt;=40,40,IF(AA2&lt;=45,45,IF(AA2&lt;=50,50,IF(AA2&lt;=55,55,IF(AA2&lt;=60,60,IF(AA2&lt;=65,65,IF(AA2&lt;=70,70,IF(AA2&lt;=75,75,IF(AA2&lt;=80,80,80)))))))))))))))</f>
        <v>45</v>
      </c>
      <c r="AC5" t="s">
        <v>153</v>
      </c>
      <c r="AD5">
        <f>IF(AD2&lt;=10,10,IF(AD2&lt;=15,15,IF(AD2&lt;=20,20,IF(AD2&lt;=25,25,IF(AD2&lt;=30,30,IF(AD2&lt;=35,35,IF(AD2&lt;=40,40,IF(AD2&lt;=45,45,IF(AD2&lt;=50,50,IF(AD2&lt;=55,55,IF(AD2&lt;=60,60,IF(AD2&lt;=65,65,IF(AD2&lt;=70,70,IF(AD2&lt;=75,75,IF(AD2&lt;=80,80,80)))))))))))))))</f>
        <v>45</v>
      </c>
      <c r="AF5" t="s">
        <v>153</v>
      </c>
      <c r="AG5">
        <f>IF(AG2&lt;=10,10,IF(AG2&lt;=15,15,IF(AG2&lt;=20,20,IF(AG2&lt;=25,25,IF(AG2&lt;=30,30,IF(AG2&lt;=35,35,IF(AG2&lt;=40,40,IF(AG2&lt;=45,45,IF(AG2&lt;=50,50,IF(AG2&lt;=55,55,IF(AG2&lt;=60,60,IF(AG2&lt;=65,65,IF(AG2&lt;=70,70,IF(AG2&lt;=75,75,IF(AG2&lt;=80,80,80)))))))))))))))</f>
        <v>45</v>
      </c>
      <c r="AI5" t="s">
        <v>153</v>
      </c>
      <c r="AJ5">
        <f>IF(AJ2&lt;=10,10,IF(AJ2&lt;=15,15,IF(AJ2&lt;=20,20,IF(AJ2&lt;=25,25,IF(AJ2&lt;=30,30,IF(AJ2&lt;=35,35,IF(AJ2&lt;=40,40,IF(AJ2&lt;=45,45,IF(AJ2&lt;=50,50,IF(AJ2&lt;=55,55,IF(AJ2&lt;=60,60,IF(AJ2&lt;=65,65,IF(AJ2&lt;=70,70,IF(AJ2&lt;=75,75,IF(AJ2&lt;=80,80,80)))))))))))))))</f>
        <v>45</v>
      </c>
      <c r="AL5" t="s">
        <v>153</v>
      </c>
      <c r="AM5">
        <f>IF(AM2&lt;=10,10,IF(AM2&lt;=15,15,IF(AM2&lt;=20,20,IF(AM2&lt;=25,25,IF(AM2&lt;=30,30,IF(AM2&lt;=35,35,IF(AM2&lt;=40,40,IF(AM2&lt;=45,45,IF(AM2&lt;=50,50,IF(AM2&lt;=55,55,IF(AM2&lt;=60,60,IF(AM2&lt;=65,65,IF(AM2&lt;=70,70,IF(AM2&lt;=75,75,IF(AM2&lt;=80,80,80)))))))))))))))</f>
        <v>45</v>
      </c>
      <c r="AO5" t="s">
        <v>153</v>
      </c>
      <c r="AP5">
        <f>IF(AP2&lt;=10,10,IF(AP2&lt;=15,15,IF(AP2&lt;=20,20,IF(AP2&lt;=25,25,IF(AP2&lt;=30,30,IF(AP2&lt;=35,35,IF(AP2&lt;=40,40,IF(AP2&lt;=45,45,IF(AP2&lt;=50,50,IF(AP2&lt;=55,55,IF(AP2&lt;=60,60,IF(AP2&lt;=65,65,IF(AP2&lt;=70,70,IF(AP2&lt;=75,75,IF(AP2&lt;=80,80,80)))))))))))))))</f>
        <v>45</v>
      </c>
      <c r="AR5" t="s">
        <v>153</v>
      </c>
      <c r="AS5">
        <f>IF(AS2&lt;=10,10,IF(AS2&lt;=15,15,IF(AS2&lt;=20,20,IF(AS2&lt;=25,25,IF(AS2&lt;=30,30,IF(AS2&lt;=35,35,IF(AS2&lt;=40,40,IF(AS2&lt;=45,45,IF(AS2&lt;=50,50,IF(AS2&lt;=55,55,IF(AS2&lt;=60,60,IF(AS2&lt;=65,65,IF(AS2&lt;=70,70,IF(AS2&lt;=75,75,IF(AS2&lt;=80,80,80)))))))))))))))</f>
        <v>45</v>
      </c>
      <c r="AU5" t="s">
        <v>153</v>
      </c>
      <c r="AV5">
        <f>IF(AV2&lt;=10,10,IF(AV2&lt;=15,15,IF(AV2&lt;=20,20,IF(AV2&lt;=25,25,IF(AV2&lt;=30,30,IF(AV2&lt;=35,35,IF(AV2&lt;=40,40,IF(AV2&lt;=45,45,IF(AV2&lt;=50,50,IF(AV2&lt;=55,55,IF(AV2&lt;=60,60,IF(AV2&lt;=65,65,IF(AV2&lt;=70,70,IF(AV2&lt;=75,75,IF(AV2&lt;=80,80,80)))))))))))))))</f>
        <v>45</v>
      </c>
      <c r="AX5" t="s">
        <v>153</v>
      </c>
      <c r="AY5">
        <f>IF(AY2&lt;=10,10,IF(AY2&lt;=15,15,IF(AY2&lt;=20,20,IF(AY2&lt;=25,25,IF(AY2&lt;=30,30,IF(AY2&lt;=35,35,IF(AY2&lt;=40,40,IF(AY2&lt;=45,45,IF(AY2&lt;=50,50,IF(AY2&lt;=55,55,IF(AY2&lt;=60,60,IF(AY2&lt;=65,65,IF(AY2&lt;=70,70,IF(AY2&lt;=75,75,IF(AY2&lt;=80,80,80)))))))))))))))</f>
        <v>45</v>
      </c>
      <c r="BA5" t="s">
        <v>153</v>
      </c>
      <c r="BB5">
        <f>IF(BB2&lt;=10,10,IF(BB2&lt;=15,15,IF(BB2&lt;=20,20,IF(BB2&lt;=25,25,IF(BB2&lt;=30,30,IF(BB2&lt;=35,35,IF(BB2&lt;=40,40,IF(BB2&lt;=45,45,IF(BB2&lt;=50,50,IF(BB2&lt;=55,55,IF(BB2&lt;=60,60,IF(BB2&lt;=65,65,IF(BB2&lt;=70,70,IF(BB2&lt;=75,75,IF(BB2&lt;=80,80,80)))))))))))))))</f>
        <v>45</v>
      </c>
      <c r="BD5" t="s">
        <v>153</v>
      </c>
      <c r="BE5">
        <f>IF(BE2&lt;=10,10,IF(BE2&lt;=15,15,IF(BE2&lt;=20,20,IF(BE2&lt;=25,25,IF(BE2&lt;=30,30,IF(BE2&lt;=35,35,IF(BE2&lt;=40,40,IF(BE2&lt;=45,45,IF(BE2&lt;=50,50,IF(BE2&lt;=55,55,IF(BE2&lt;=60,60,IF(BE2&lt;=65,65,IF(BE2&lt;=70,70,IF(BE2&lt;=75,75,IF(BE2&lt;=80,80,80)))))))))))))))</f>
        <v>45</v>
      </c>
      <c r="BG5" t="s">
        <v>153</v>
      </c>
      <c r="BH5">
        <f>IF(BH2&lt;=10,10,IF(BH2&lt;=15,15,IF(BH2&lt;=20,20,IF(BH2&lt;=25,25,IF(BH2&lt;=30,30,IF(BH2&lt;=35,35,IF(BH2&lt;=40,40,IF(BH2&lt;=45,45,IF(BH2&lt;=50,50,IF(BH2&lt;=55,55,IF(BH2&lt;=60,60,IF(BH2&lt;=65,65,IF(BH2&lt;=70,70,IF(BH2&lt;=75,75,IF(BH2&lt;=80,80,80)))))))))))))))</f>
        <v>45</v>
      </c>
    </row>
    <row r="6" spans="2:60" x14ac:dyDescent="0.25">
      <c r="B6" t="s">
        <v>139</v>
      </c>
      <c r="C6">
        <f>IF(C5=10,10,IF(C5=15,15,IF(C5=20,20,IF(C5=25,24,IF(C5=30,28,IF(C5=35,32,IF(C5=40,36,IF(C5=45,40,IF(C5=50,44,IF(C5=55,48,IF(C5=60,52,IF(C5=65,55,IF(C5=70,58,IF(C5=75,61,IF(C5=80,64,"na")))))))))))))))</f>
        <v>40</v>
      </c>
      <c r="E6" t="s">
        <v>139</v>
      </c>
      <c r="F6">
        <f>IF(F5=10,10,IF(F5=15,15,IF(F5=20,20,IF(F5=25,24,IF(F5=30,28,IF(F5=35,32,IF(F5=40,36,IF(F5=45,40,IF(F5=50,44,IF(F5=55,48,IF(F5=60,52,IF(F5=65,55,IF(F5=70,58,IF(F5=75,61,IF(F5=80,64,"na")))))))))))))))</f>
        <v>40</v>
      </c>
      <c r="H6" t="s">
        <v>139</v>
      </c>
      <c r="I6">
        <f>IF(I5=10,10,IF(I5=15,15,IF(I5=20,20,IF(I5=25,24,IF(I5=30,28,IF(I5=35,32,IF(I5=40,36,IF(I5=45,40,IF(I5=50,44,IF(I5=55,48,IF(I5=60,52,IF(I5=65,55,IF(I5=70,58,IF(I5=75,61,IF(I5=80,64,"na")))))))))))))))</f>
        <v>40</v>
      </c>
      <c r="K6" t="s">
        <v>139</v>
      </c>
      <c r="L6">
        <f>IF(L5=10,10,IF(L5=15,15,IF(L5=20,20,IF(L5=25,24,IF(L5=30,28,IF(L5=35,32,IF(L5=40,36,IF(L5=45,40,IF(L5=50,44,IF(L5=55,48,IF(L5=60,52,IF(L5=65,55,IF(L5=70,58,IF(L5=75,61,IF(L5=80,64,"na")))))))))))))))</f>
        <v>40</v>
      </c>
      <c r="N6" t="s">
        <v>139</v>
      </c>
      <c r="O6">
        <f>IF(O5=10,10,IF(O5=15,15,IF(O5=20,20,IF(O5=25,24,IF(O5=30,28,IF(O5=35,32,IF(O5=40,36,IF(O5=45,40,IF(O5=50,44,IF(O5=55,48,IF(O5=60,52,IF(O5=65,55,IF(O5=70,58,IF(O5=75,61,IF(O5=80,64,"na")))))))))))))))</f>
        <v>40</v>
      </c>
      <c r="Q6" t="s">
        <v>139</v>
      </c>
      <c r="R6">
        <f>IF(R5=10,10,IF(R5=15,15,IF(R5=20,20,IF(R5=25,24,IF(R5=30,28,IF(R5=35,32,IF(R5=40,36,IF(R5=45,40,IF(R5=50,44,IF(R5=55,48,IF(R5=60,52,IF(R5=65,55,IF(R5=70,58,IF(R5=75,61,IF(R5=80,64,"na")))))))))))))))</f>
        <v>40</v>
      </c>
      <c r="T6" t="s">
        <v>139</v>
      </c>
      <c r="U6">
        <f>IF(U5=10,10,IF(U5=15,15,IF(U5=20,20,IF(U5=25,24,IF(U5=30,28,IF(U5=35,32,IF(U5=40,36,IF(U5=45,40,IF(U5=50,44,IF(U5=55,48,IF(U5=60,52,IF(U5=65,55,IF(U5=70,58,IF(U5=75,61,IF(U5=80,64,"na")))))))))))))))</f>
        <v>40</v>
      </c>
      <c r="W6" t="s">
        <v>139</v>
      </c>
      <c r="X6">
        <f>IF(X5=10,10,IF(X5=15,15,IF(X5=20,20,IF(X5=25,24,IF(X5=30,28,IF(X5=35,32,IF(X5=40,36,IF(X5=45,40,IF(X5=50,44,IF(X5=55,48,IF(X5=60,52,IF(X5=65,55,IF(X5=70,58,IF(X5=75,61,IF(X5=80,64,"na")))))))))))))))</f>
        <v>40</v>
      </c>
      <c r="Z6" t="s">
        <v>139</v>
      </c>
      <c r="AA6">
        <f>IF(AA5=10,10,IF(AA5=15,15,IF(AA5=20,20,IF(AA5=25,24,IF(AA5=30,28,IF(AA5=35,32,IF(AA5=40,36,IF(AA5=45,40,IF(AA5=50,44,IF(AA5=55,48,IF(AA5=60,52,IF(AA5=65,55,IF(AA5=70,58,IF(AA5=75,61,IF(AA5=80,64,"na")))))))))))))))</f>
        <v>40</v>
      </c>
      <c r="AC6" t="s">
        <v>139</v>
      </c>
      <c r="AD6">
        <f>IF(AD5=10,10,IF(AD5=15,15,IF(AD5=20,20,IF(AD5=25,24,IF(AD5=30,28,IF(AD5=35,32,IF(AD5=40,36,IF(AD5=45,40,IF(AD5=50,44,IF(AD5=55,48,IF(AD5=60,52,IF(AD5=65,55,IF(AD5=70,58,IF(AD5=75,61,IF(AD5=80,64,"na")))))))))))))))</f>
        <v>40</v>
      </c>
      <c r="AF6" t="s">
        <v>139</v>
      </c>
      <c r="AG6">
        <f>IF(AG5=10,10,IF(AG5=15,15,IF(AG5=20,20,IF(AG5=25,24,IF(AG5=30,28,IF(AG5=35,32,IF(AG5=40,36,IF(AG5=45,40,IF(AG5=50,44,IF(AG5=55,48,IF(AG5=60,52,IF(AG5=65,55,IF(AG5=70,58,IF(AG5=75,61,IF(AG5=80,64,"na")))))))))))))))</f>
        <v>40</v>
      </c>
      <c r="AI6" t="s">
        <v>139</v>
      </c>
      <c r="AJ6">
        <f>IF(AJ5=10,10,IF(AJ5=15,15,IF(AJ5=20,20,IF(AJ5=25,24,IF(AJ5=30,28,IF(AJ5=35,32,IF(AJ5=40,36,IF(AJ5=45,40,IF(AJ5=50,44,IF(AJ5=55,48,IF(AJ5=60,52,IF(AJ5=65,55,IF(AJ5=70,58,IF(AJ5=75,61,IF(AJ5=80,64,"na")))))))))))))))</f>
        <v>40</v>
      </c>
      <c r="AL6" t="s">
        <v>139</v>
      </c>
      <c r="AM6">
        <f>IF(AM5=10,10,IF(AM5=15,15,IF(AM5=20,20,IF(AM5=25,24,IF(AM5=30,28,IF(AM5=35,32,IF(AM5=40,36,IF(AM5=45,40,IF(AM5=50,44,IF(AM5=55,48,IF(AM5=60,52,IF(AM5=65,55,IF(AM5=70,58,IF(AM5=75,61,IF(AM5=80,64,"na")))))))))))))))</f>
        <v>40</v>
      </c>
      <c r="AO6" t="s">
        <v>139</v>
      </c>
      <c r="AP6">
        <f>IF(AP5=10,10,IF(AP5=15,15,IF(AP5=20,20,IF(AP5=25,24,IF(AP5=30,28,IF(AP5=35,32,IF(AP5=40,36,IF(AP5=45,40,IF(AP5=50,44,IF(AP5=55,48,IF(AP5=60,52,IF(AP5=65,55,IF(AP5=70,58,IF(AP5=75,61,IF(AP5=80,64,"na")))))))))))))))</f>
        <v>40</v>
      </c>
      <c r="AR6" t="s">
        <v>139</v>
      </c>
      <c r="AS6">
        <f>IF(AS5=10,10,IF(AS5=15,15,IF(AS5=20,20,IF(AS5=25,24,IF(AS5=30,28,IF(AS5=35,32,IF(AS5=40,36,IF(AS5=45,40,IF(AS5=50,44,IF(AS5=55,48,IF(AS5=60,52,IF(AS5=65,55,IF(AS5=70,58,IF(AS5=75,61,IF(AS5=80,64,"na")))))))))))))))</f>
        <v>40</v>
      </c>
      <c r="AU6" t="s">
        <v>139</v>
      </c>
      <c r="AV6">
        <f>IF(AV5=10,10,IF(AV5=15,15,IF(AV5=20,20,IF(AV5=25,24,IF(AV5=30,28,IF(AV5=35,32,IF(AV5=40,36,IF(AV5=45,40,IF(AV5=50,44,IF(AV5=55,48,IF(AV5=60,52,IF(AV5=65,55,IF(AV5=70,58,IF(AV5=75,61,IF(AV5=80,64,"na")))))))))))))))</f>
        <v>40</v>
      </c>
      <c r="AX6" t="s">
        <v>139</v>
      </c>
      <c r="AY6">
        <f>IF(AY5=10,10,IF(AY5=15,15,IF(AY5=20,20,IF(AY5=25,24,IF(AY5=30,28,IF(AY5=35,32,IF(AY5=40,36,IF(AY5=45,40,IF(AY5=50,44,IF(AY5=55,48,IF(AY5=60,52,IF(AY5=65,55,IF(AY5=70,58,IF(AY5=75,61,IF(AY5=80,64,"na")))))))))))))))</f>
        <v>40</v>
      </c>
      <c r="BA6" t="s">
        <v>139</v>
      </c>
      <c r="BB6">
        <f>IF(BB5=10,10,IF(BB5=15,15,IF(BB5=20,20,IF(BB5=25,24,IF(BB5=30,28,IF(BB5=35,32,IF(BB5=40,36,IF(BB5=45,40,IF(BB5=50,44,IF(BB5=55,48,IF(BB5=60,52,IF(BB5=65,55,IF(BB5=70,58,IF(BB5=75,61,IF(BB5=80,64,"na")))))))))))))))</f>
        <v>40</v>
      </c>
      <c r="BD6" t="s">
        <v>139</v>
      </c>
      <c r="BE6">
        <f>IF(BE5=10,10,IF(BE5=15,15,IF(BE5=20,20,IF(BE5=25,24,IF(BE5=30,28,IF(BE5=35,32,IF(BE5=40,36,IF(BE5=45,40,IF(BE5=50,44,IF(BE5=55,48,IF(BE5=60,52,IF(BE5=65,55,IF(BE5=70,58,IF(BE5=75,61,IF(BE5=80,64,"na")))))))))))))))</f>
        <v>40</v>
      </c>
      <c r="BG6" t="s">
        <v>139</v>
      </c>
      <c r="BH6">
        <f>IF(BH5=10,10,IF(BH5=15,15,IF(BH5=20,20,IF(BH5=25,24,IF(BH5=30,28,IF(BH5=35,32,IF(BH5=40,36,IF(BH5=45,40,IF(BH5=50,44,IF(BH5=55,48,IF(BH5=60,52,IF(BH5=65,55,IF(BH5=70,58,IF(BH5=75,61,IF(BH5=80,64,"na")))))))))))))))</f>
        <v>40</v>
      </c>
    </row>
    <row r="7" spans="2:60" x14ac:dyDescent="0.25">
      <c r="B7" t="s">
        <v>143</v>
      </c>
      <c r="C7">
        <f>IF(C5=10,0.38,IF(C5=15,0.32,IF(C5=20,0.27,IF(C5=25,0.23,IF(C5=30,0.2,IF(C5=35,0.18,IF(C5=40,0.16,IF(C5=45,0.15,IF(C5=50,0.14,IF(C5=55,0.13,IF(C5=60,0.12,IF(C5=65,0.11,IF(C5=70,0.1,IF(C5=75,0.09,IF(C5=80,0.08,0.08)))))))))))))))</f>
        <v>0.15</v>
      </c>
      <c r="E7" t="s">
        <v>143</v>
      </c>
      <c r="F7">
        <f>IF(F5=10,0.38,IF(F5=15,0.32,IF(F5=20,0.27,IF(F5=25,0.23,IF(F5=30,0.2,IF(F5=35,0.18,IF(F5=40,0.16,IF(F5=45,0.15,IF(F5=50,0.14,IF(F5=55,0.13,IF(F5=60,0.12,IF(F5=65,0.11,IF(F5=70,0.1,IF(F5=75,0.09,IF(F5=80,0.08,0.08)))))))))))))))</f>
        <v>0.15</v>
      </c>
      <c r="H7" t="s">
        <v>143</v>
      </c>
      <c r="I7">
        <f>IF(I5=10,0.38,IF(I5=15,0.32,IF(I5=20,0.27,IF(I5=25,0.23,IF(I5=30,0.2,IF(I5=35,0.18,IF(I5=40,0.16,IF(I5=45,0.15,IF(I5=50,0.14,IF(I5=55,0.13,IF(I5=60,0.12,IF(I5=65,0.11,IF(I5=70,0.1,IF(I5=75,0.09,IF(I5=80,0.08,0.08)))))))))))))))</f>
        <v>0.15</v>
      </c>
      <c r="K7" t="s">
        <v>143</v>
      </c>
      <c r="L7">
        <f>IF(L5=10,0.38,IF(L5=15,0.32,IF(L5=20,0.27,IF(L5=25,0.23,IF(L5=30,0.2,IF(L5=35,0.18,IF(L5=40,0.16,IF(L5=45,0.15,IF(L5=50,0.14,IF(L5=55,0.13,IF(L5=60,0.12,IF(L5=65,0.11,IF(L5=70,0.1,IF(L5=75,0.09,IF(L5=80,0.08,0.08)))))))))))))))</f>
        <v>0.15</v>
      </c>
      <c r="N7" t="s">
        <v>143</v>
      </c>
      <c r="O7">
        <f>IF(O5=10,0.38,IF(O5=15,0.32,IF(O5=20,0.27,IF(O5=25,0.23,IF(O5=30,0.2,IF(O5=35,0.18,IF(O5=40,0.16,IF(O5=45,0.15,IF(O5=50,0.14,IF(O5=55,0.13,IF(O5=60,0.12,IF(O5=65,0.11,IF(O5=70,0.1,IF(O5=75,0.09,IF(O5=80,0.08,0.08)))))))))))))))</f>
        <v>0.15</v>
      </c>
      <c r="Q7" t="s">
        <v>143</v>
      </c>
      <c r="R7">
        <f>IF(R5=10,0.38,IF(R5=15,0.32,IF(R5=20,0.27,IF(R5=25,0.23,IF(R5=30,0.2,IF(R5=35,0.18,IF(R5=40,0.16,IF(R5=45,0.15,IF(R5=50,0.14,IF(R5=55,0.13,IF(R5=60,0.12,IF(R5=65,0.11,IF(R5=70,0.1,IF(R5=75,0.09,IF(R5=80,0.08,0.08)))))))))))))))</f>
        <v>0.15</v>
      </c>
      <c r="T7" t="s">
        <v>143</v>
      </c>
      <c r="U7">
        <f>IF(U5=10,0.38,IF(U5=15,0.32,IF(U5=20,0.27,IF(U5=25,0.23,IF(U5=30,0.2,IF(U5=35,0.18,IF(U5=40,0.16,IF(U5=45,0.15,IF(U5=50,0.14,IF(U5=55,0.13,IF(U5=60,0.12,IF(U5=65,0.11,IF(U5=70,0.1,IF(U5=75,0.09,IF(U5=80,0.08,0.08)))))))))))))))</f>
        <v>0.15</v>
      </c>
      <c r="W7" t="s">
        <v>143</v>
      </c>
      <c r="X7">
        <f>IF(X5=10,0.38,IF(X5=15,0.32,IF(X5=20,0.27,IF(X5=25,0.23,IF(X5=30,0.2,IF(X5=35,0.18,IF(X5=40,0.16,IF(X5=45,0.15,IF(X5=50,0.14,IF(X5=55,0.13,IF(X5=60,0.12,IF(X5=65,0.11,IF(X5=70,0.1,IF(X5=75,0.09,IF(X5=80,0.08,0.08)))))))))))))))</f>
        <v>0.15</v>
      </c>
      <c r="Z7" t="s">
        <v>143</v>
      </c>
      <c r="AA7">
        <f>IF(AA5=10,0.38,IF(AA5=15,0.32,IF(AA5=20,0.27,IF(AA5=25,0.23,IF(AA5=30,0.2,IF(AA5=35,0.18,IF(AA5=40,0.16,IF(AA5=45,0.15,IF(AA5=50,0.14,IF(AA5=55,0.13,IF(AA5=60,0.12,IF(AA5=65,0.11,IF(AA5=70,0.1,IF(AA5=75,0.09,IF(AA5=80,0.08,0.08)))))))))))))))</f>
        <v>0.15</v>
      </c>
      <c r="AC7" t="s">
        <v>143</v>
      </c>
      <c r="AD7">
        <f>IF(AD5=10,0.38,IF(AD5=15,0.32,IF(AD5=20,0.27,IF(AD5=25,0.23,IF(AD5=30,0.2,IF(AD5=35,0.18,IF(AD5=40,0.16,IF(AD5=45,0.15,IF(AD5=50,0.14,IF(AD5=55,0.13,IF(AD5=60,0.12,IF(AD5=65,0.11,IF(AD5=70,0.1,IF(AD5=75,0.09,IF(AD5=80,0.08,0.08)))))))))))))))</f>
        <v>0.15</v>
      </c>
      <c r="AF7" t="s">
        <v>143</v>
      </c>
      <c r="AG7">
        <f>IF(AG5=10,0.38,IF(AG5=15,0.32,IF(AG5=20,0.27,IF(AG5=25,0.23,IF(AG5=30,0.2,IF(AG5=35,0.18,IF(AG5=40,0.16,IF(AG5=45,0.15,IF(AG5=50,0.14,IF(AG5=55,0.13,IF(AG5=60,0.12,IF(AG5=65,0.11,IF(AG5=70,0.1,IF(AG5=75,0.09,IF(AG5=80,0.08,0.08)))))))))))))))</f>
        <v>0.15</v>
      </c>
      <c r="AI7" t="s">
        <v>143</v>
      </c>
      <c r="AJ7">
        <f>IF(AJ5=10,0.38,IF(AJ5=15,0.32,IF(AJ5=20,0.27,IF(AJ5=25,0.23,IF(AJ5=30,0.2,IF(AJ5=35,0.18,IF(AJ5=40,0.16,IF(AJ5=45,0.15,IF(AJ5=50,0.14,IF(AJ5=55,0.13,IF(AJ5=60,0.12,IF(AJ5=65,0.11,IF(AJ5=70,0.1,IF(AJ5=75,0.09,IF(AJ5=80,0.08,0.08)))))))))))))))</f>
        <v>0.15</v>
      </c>
      <c r="AL7" t="s">
        <v>143</v>
      </c>
      <c r="AM7">
        <f>IF(AM5=10,0.38,IF(AM5=15,0.32,IF(AM5=20,0.27,IF(AM5=25,0.23,IF(AM5=30,0.2,IF(AM5=35,0.18,IF(AM5=40,0.16,IF(AM5=45,0.15,IF(AM5=50,0.14,IF(AM5=55,0.13,IF(AM5=60,0.12,IF(AM5=65,0.11,IF(AM5=70,0.1,IF(AM5=75,0.09,IF(AM5=80,0.08,0.08)))))))))))))))</f>
        <v>0.15</v>
      </c>
      <c r="AO7" t="s">
        <v>143</v>
      </c>
      <c r="AP7">
        <f>IF(AP5=10,0.38,IF(AP5=15,0.32,IF(AP5=20,0.27,IF(AP5=25,0.23,IF(AP5=30,0.2,IF(AP5=35,0.18,IF(AP5=40,0.16,IF(AP5=45,0.15,IF(AP5=50,0.14,IF(AP5=55,0.13,IF(AP5=60,0.12,IF(AP5=65,0.11,IF(AP5=70,0.1,IF(AP5=75,0.09,IF(AP5=80,0.08,0.08)))))))))))))))</f>
        <v>0.15</v>
      </c>
      <c r="AR7" t="s">
        <v>143</v>
      </c>
      <c r="AS7">
        <f>IF(AS5=10,0.38,IF(AS5=15,0.32,IF(AS5=20,0.27,IF(AS5=25,0.23,IF(AS5=30,0.2,IF(AS5=35,0.18,IF(AS5=40,0.16,IF(AS5=45,0.15,IF(AS5=50,0.14,IF(AS5=55,0.13,IF(AS5=60,0.12,IF(AS5=65,0.11,IF(AS5=70,0.1,IF(AS5=75,0.09,IF(AS5=80,0.08,0.08)))))))))))))))</f>
        <v>0.15</v>
      </c>
      <c r="AU7" t="s">
        <v>143</v>
      </c>
      <c r="AV7">
        <f>IF(AV5=10,0.38,IF(AV5=15,0.32,IF(AV5=20,0.27,IF(AV5=25,0.23,IF(AV5=30,0.2,IF(AV5=35,0.18,IF(AV5=40,0.16,IF(AV5=45,0.15,IF(AV5=50,0.14,IF(AV5=55,0.13,IF(AV5=60,0.12,IF(AV5=65,0.11,IF(AV5=70,0.1,IF(AV5=75,0.09,IF(AV5=80,0.08,0.08)))))))))))))))</f>
        <v>0.15</v>
      </c>
      <c r="AX7" t="s">
        <v>143</v>
      </c>
      <c r="AY7">
        <f>IF(AY5=10,0.38,IF(AY5=15,0.32,IF(AY5=20,0.27,IF(AY5=25,0.23,IF(AY5=30,0.2,IF(AY5=35,0.18,IF(AY5=40,0.16,IF(AY5=45,0.15,IF(AY5=50,0.14,IF(AY5=55,0.13,IF(AY5=60,0.12,IF(AY5=65,0.11,IF(AY5=70,0.1,IF(AY5=75,0.09,IF(AY5=80,0.08,0.08)))))))))))))))</f>
        <v>0.15</v>
      </c>
      <c r="BA7" t="s">
        <v>143</v>
      </c>
      <c r="BB7">
        <f>IF(BB5=10,0.38,IF(BB5=15,0.32,IF(BB5=20,0.27,IF(BB5=25,0.23,IF(BB5=30,0.2,IF(BB5=35,0.18,IF(BB5=40,0.16,IF(BB5=45,0.15,IF(BB5=50,0.14,IF(BB5=55,0.13,IF(BB5=60,0.12,IF(BB5=65,0.11,IF(BB5=70,0.1,IF(BB5=75,0.09,IF(BB5=80,0.08,0.08)))))))))))))))</f>
        <v>0.15</v>
      </c>
      <c r="BD7" t="s">
        <v>143</v>
      </c>
      <c r="BE7">
        <f>IF(BE5=10,0.38,IF(BE5=15,0.32,IF(BE5=20,0.27,IF(BE5=25,0.23,IF(BE5=30,0.2,IF(BE5=35,0.18,IF(BE5=40,0.16,IF(BE5=45,0.15,IF(BE5=50,0.14,IF(BE5=55,0.13,IF(BE5=60,0.12,IF(BE5=65,0.11,IF(BE5=70,0.1,IF(BE5=75,0.09,IF(BE5=80,0.08,0.08)))))))))))))))</f>
        <v>0.15</v>
      </c>
      <c r="BG7" t="s">
        <v>143</v>
      </c>
      <c r="BH7">
        <f>IF(BH5=10,0.38,IF(BH5=15,0.32,IF(BH5=20,0.27,IF(BH5=25,0.23,IF(BH5=30,0.2,IF(BH5=35,0.18,IF(BH5=40,0.16,IF(BH5=45,0.15,IF(BH5=50,0.14,IF(BH5=55,0.13,IF(BH5=60,0.12,IF(BH5=65,0.11,IF(BH5=70,0.1,IF(BH5=75,0.09,IF(BH5=80,0.08,0.08)))))))))))))))</f>
        <v>0.15</v>
      </c>
    </row>
    <row r="8" spans="2:60" x14ac:dyDescent="0.25">
      <c r="B8" t="s">
        <v>144</v>
      </c>
      <c r="C8">
        <f>C5^2/(15*(0.01*C4+C7))</f>
        <v>586.95652173913049</v>
      </c>
      <c r="E8" t="s">
        <v>144</v>
      </c>
      <c r="F8">
        <f>F5^2/(15*(0.01*F4+F7))</f>
        <v>586.95652173913049</v>
      </c>
      <c r="H8" t="s">
        <v>144</v>
      </c>
      <c r="I8">
        <f>I5^2/(15*(0.01*I4+I7))</f>
        <v>586.95652173913049</v>
      </c>
      <c r="K8" t="s">
        <v>144</v>
      </c>
      <c r="L8">
        <f>L5^2/(15*(0.01*L4+L7))</f>
        <v>586.95652173913049</v>
      </c>
      <c r="N8" t="s">
        <v>144</v>
      </c>
      <c r="O8">
        <f>O5^2/(15*(0.01*O4+O7))</f>
        <v>586.95652173913049</v>
      </c>
      <c r="Q8" t="s">
        <v>144</v>
      </c>
      <c r="R8">
        <f>R5^2/(15*(0.01*R4+R7))</f>
        <v>586.95652173913049</v>
      </c>
      <c r="T8" t="s">
        <v>144</v>
      </c>
      <c r="U8">
        <f>U5^2/(15*(0.01*U4+U7))</f>
        <v>586.95652173913049</v>
      </c>
      <c r="W8" t="s">
        <v>144</v>
      </c>
      <c r="X8">
        <f>X5^2/(15*(0.01*X4+X7))</f>
        <v>586.95652173913049</v>
      </c>
      <c r="Z8" t="s">
        <v>144</v>
      </c>
      <c r="AA8">
        <f>AA5^2/(15*(0.01*AA4+AA7))</f>
        <v>586.95652173913049</v>
      </c>
      <c r="AC8" t="s">
        <v>144</v>
      </c>
      <c r="AD8">
        <f>AD5^2/(15*(0.01*AD4+AD7))</f>
        <v>586.95652173913049</v>
      </c>
      <c r="AF8" t="s">
        <v>144</v>
      </c>
      <c r="AG8">
        <f>AG5^2/(15*(0.01*AG4+AG7))</f>
        <v>586.95652173913049</v>
      </c>
      <c r="AI8" t="s">
        <v>144</v>
      </c>
      <c r="AJ8">
        <f>AJ5^2/(15*(0.01*AJ4+AJ7))</f>
        <v>586.95652173913049</v>
      </c>
      <c r="AL8" t="s">
        <v>144</v>
      </c>
      <c r="AM8">
        <f>AM5^2/(15*(0.01*AM4+AM7))</f>
        <v>586.95652173913049</v>
      </c>
      <c r="AO8" t="s">
        <v>144</v>
      </c>
      <c r="AP8">
        <f>AP5^2/(15*(0.01*AP4+AP7))</f>
        <v>586.95652173913049</v>
      </c>
      <c r="AR8" t="s">
        <v>144</v>
      </c>
      <c r="AS8">
        <f>AS5^2/(15*(0.01*AS4+AS7))</f>
        <v>586.95652173913049</v>
      </c>
      <c r="AU8" t="s">
        <v>144</v>
      </c>
      <c r="AV8">
        <f>AV5^2/(15*(0.01*AV4+AV7))</f>
        <v>586.95652173913049</v>
      </c>
      <c r="AX8" t="s">
        <v>144</v>
      </c>
      <c r="AY8">
        <f>AY5^2/(15*(0.01*AY4+AY7))</f>
        <v>586.95652173913049</v>
      </c>
      <c r="BA8" t="s">
        <v>144</v>
      </c>
      <c r="BB8">
        <f>BB5^2/(15*(0.01*BB4+BB7))</f>
        <v>586.95652173913049</v>
      </c>
      <c r="BD8" t="s">
        <v>144</v>
      </c>
      <c r="BE8">
        <f>BE5^2/(15*(0.01*BE4+BE7))</f>
        <v>586.95652173913049</v>
      </c>
      <c r="BG8" t="s">
        <v>144</v>
      </c>
      <c r="BH8">
        <f>BH5^2/(15*(0.01*BH4+BH7))</f>
        <v>586.95652173913049</v>
      </c>
    </row>
    <row r="9" spans="2:60" x14ac:dyDescent="0.25">
      <c r="B9" t="s">
        <v>145</v>
      </c>
      <c r="C9">
        <f>C6^2/(0.15*C4)</f>
        <v>1333.3333333333335</v>
      </c>
      <c r="E9" t="s">
        <v>145</v>
      </c>
      <c r="F9">
        <f>F6^2/(0.15*F4)</f>
        <v>1333.3333333333335</v>
      </c>
      <c r="H9" t="s">
        <v>145</v>
      </c>
      <c r="I9">
        <f>I6^2/(0.15*I4)</f>
        <v>1333.3333333333335</v>
      </c>
      <c r="K9" t="s">
        <v>145</v>
      </c>
      <c r="L9">
        <f>L6^2/(0.15*L4)</f>
        <v>1333.3333333333335</v>
      </c>
      <c r="N9" t="s">
        <v>145</v>
      </c>
      <c r="O9">
        <f>O6^2/(0.15*O4)</f>
        <v>1333.3333333333335</v>
      </c>
      <c r="Q9" t="s">
        <v>145</v>
      </c>
      <c r="R9">
        <f>R6^2/(0.15*R4)</f>
        <v>1333.3333333333335</v>
      </c>
      <c r="T9" t="s">
        <v>145</v>
      </c>
      <c r="U9">
        <f>U6^2/(0.15*U4)</f>
        <v>1333.3333333333335</v>
      </c>
      <c r="W9" t="s">
        <v>145</v>
      </c>
      <c r="X9">
        <f>X6^2/(0.15*X4)</f>
        <v>1333.3333333333335</v>
      </c>
      <c r="Z9" t="s">
        <v>145</v>
      </c>
      <c r="AA9">
        <f>AA6^2/(0.15*AA4)</f>
        <v>1333.3333333333335</v>
      </c>
      <c r="AC9" t="s">
        <v>145</v>
      </c>
      <c r="AD9">
        <f>AD6^2/(0.15*AD4)</f>
        <v>1333.3333333333335</v>
      </c>
      <c r="AF9" t="s">
        <v>145</v>
      </c>
      <c r="AG9">
        <f>AG6^2/(0.15*AG4)</f>
        <v>1333.3333333333335</v>
      </c>
      <c r="AI9" t="s">
        <v>145</v>
      </c>
      <c r="AJ9">
        <f>AJ6^2/(0.15*AJ4)</f>
        <v>1333.3333333333335</v>
      </c>
      <c r="AL9" t="s">
        <v>145</v>
      </c>
      <c r="AM9">
        <f>AM6^2/(0.15*AM4)</f>
        <v>1333.3333333333335</v>
      </c>
      <c r="AO9" t="s">
        <v>145</v>
      </c>
      <c r="AP9">
        <f>AP6^2/(0.15*AP4)</f>
        <v>1333.3333333333335</v>
      </c>
      <c r="AR9" t="s">
        <v>145</v>
      </c>
      <c r="AS9">
        <f>AS6^2/(0.15*AS4)</f>
        <v>1333.3333333333335</v>
      </c>
      <c r="AU9" t="s">
        <v>145</v>
      </c>
      <c r="AV9">
        <f>AV6^2/(0.15*AV4)</f>
        <v>1333.3333333333335</v>
      </c>
      <c r="AX9" t="s">
        <v>145</v>
      </c>
      <c r="AY9">
        <f>AY6^2/(0.15*AY4)</f>
        <v>1333.3333333333335</v>
      </c>
      <c r="BA9" t="s">
        <v>145</v>
      </c>
      <c r="BB9">
        <f>BB6^2/(0.15*BB4)</f>
        <v>1333.3333333333335</v>
      </c>
      <c r="BD9" t="s">
        <v>145</v>
      </c>
      <c r="BE9">
        <f>BE6^2/(0.15*BE4)</f>
        <v>1333.3333333333335</v>
      </c>
      <c r="BG9" t="s">
        <v>145</v>
      </c>
      <c r="BH9">
        <f>BH6^2/(0.15*BH4)</f>
        <v>1333.3333333333335</v>
      </c>
    </row>
    <row r="10" spans="2:60" x14ac:dyDescent="0.25">
      <c r="B10" t="s">
        <v>146</v>
      </c>
      <c r="C10">
        <f>0.01*C4*C5^2/C6^2-0.01*C4</f>
        <v>2.1250000000000005E-2</v>
      </c>
      <c r="E10" t="s">
        <v>146</v>
      </c>
      <c r="F10">
        <f>0.01*F4*F5^2/F6^2-0.01*F4</f>
        <v>2.1250000000000005E-2</v>
      </c>
      <c r="H10" t="s">
        <v>146</v>
      </c>
      <c r="I10">
        <f>0.01*I4*I5^2/I6^2-0.01*I4</f>
        <v>2.1250000000000005E-2</v>
      </c>
      <c r="K10" t="s">
        <v>146</v>
      </c>
      <c r="L10">
        <f>0.01*L4*L5^2/L6^2-0.01*L4</f>
        <v>2.1250000000000005E-2</v>
      </c>
      <c r="N10" t="s">
        <v>146</v>
      </c>
      <c r="O10">
        <f>0.01*O4*O5^2/O6^2-0.01*O4</f>
        <v>2.1250000000000005E-2</v>
      </c>
      <c r="Q10" t="s">
        <v>146</v>
      </c>
      <c r="R10">
        <f>0.01*R4*R5^2/R6^2-0.01*R4</f>
        <v>2.1250000000000005E-2</v>
      </c>
      <c r="T10" t="s">
        <v>146</v>
      </c>
      <c r="U10">
        <f>0.01*U4*U5^2/U6^2-0.01*U4</f>
        <v>2.1250000000000005E-2</v>
      </c>
      <c r="W10" t="s">
        <v>146</v>
      </c>
      <c r="X10">
        <f>0.01*X4*X5^2/X6^2-0.01*X4</f>
        <v>2.1250000000000005E-2</v>
      </c>
      <c r="Z10" t="s">
        <v>146</v>
      </c>
      <c r="AA10">
        <f>0.01*AA4*AA5^2/AA6^2-0.01*AA4</f>
        <v>2.1250000000000005E-2</v>
      </c>
      <c r="AC10" t="s">
        <v>146</v>
      </c>
      <c r="AD10">
        <f>0.01*AD4*AD5^2/AD6^2-0.01*AD4</f>
        <v>2.1250000000000005E-2</v>
      </c>
      <c r="AF10" t="s">
        <v>146</v>
      </c>
      <c r="AG10">
        <f>0.01*AG4*AG5^2/AG6^2-0.01*AG4</f>
        <v>2.1250000000000005E-2</v>
      </c>
      <c r="AI10" t="s">
        <v>146</v>
      </c>
      <c r="AJ10">
        <f>0.01*AJ4*AJ5^2/AJ6^2-0.01*AJ4</f>
        <v>2.1250000000000005E-2</v>
      </c>
      <c r="AL10" t="s">
        <v>146</v>
      </c>
      <c r="AM10">
        <f>0.01*AM4*AM5^2/AM6^2-0.01*AM4</f>
        <v>2.1250000000000005E-2</v>
      </c>
      <c r="AO10" t="s">
        <v>146</v>
      </c>
      <c r="AP10">
        <f>0.01*AP4*AP5^2/AP6^2-0.01*AP4</f>
        <v>2.1250000000000005E-2</v>
      </c>
      <c r="AR10" t="s">
        <v>146</v>
      </c>
      <c r="AS10">
        <f>0.01*AS4*AS5^2/AS6^2-0.01*AS4</f>
        <v>2.1250000000000005E-2</v>
      </c>
      <c r="AU10" t="s">
        <v>146</v>
      </c>
      <c r="AV10">
        <f>0.01*AV4*AV5^2/AV6^2-0.01*AV4</f>
        <v>2.1250000000000005E-2</v>
      </c>
      <c r="AX10" t="s">
        <v>146</v>
      </c>
      <c r="AY10">
        <f>0.01*AY4*AY5^2/AY6^2-0.01*AY4</f>
        <v>2.1250000000000005E-2</v>
      </c>
      <c r="BA10" t="s">
        <v>146</v>
      </c>
      <c r="BB10">
        <f>0.01*BB4*BB5^2/BB6^2-0.01*BB4</f>
        <v>2.1250000000000005E-2</v>
      </c>
      <c r="BD10" t="s">
        <v>146</v>
      </c>
      <c r="BE10">
        <f>0.01*BE4*BE5^2/BE6^2-0.01*BE4</f>
        <v>2.1250000000000005E-2</v>
      </c>
      <c r="BG10" t="s">
        <v>146</v>
      </c>
      <c r="BH10">
        <f>0.01*BH4*BH5^2/BH6^2-0.01*BH4</f>
        <v>2.1250000000000005E-2</v>
      </c>
    </row>
    <row r="11" spans="2:60" x14ac:dyDescent="0.25">
      <c r="B11" t="s">
        <v>147</v>
      </c>
      <c r="C11">
        <f>C10*C9/5729.58</f>
        <v>4.9450977791275002E-3</v>
      </c>
      <c r="E11" t="s">
        <v>147</v>
      </c>
      <c r="F11">
        <f>F10*F9/5729.58</f>
        <v>4.9450977791275002E-3</v>
      </c>
      <c r="H11" t="s">
        <v>147</v>
      </c>
      <c r="I11">
        <f>I10*I9/5729.58</f>
        <v>4.9450977791275002E-3</v>
      </c>
      <c r="K11" t="s">
        <v>147</v>
      </c>
      <c r="L11">
        <f>L10*L9/5729.58</f>
        <v>4.9450977791275002E-3</v>
      </c>
      <c r="N11" t="s">
        <v>147</v>
      </c>
      <c r="O11">
        <f>O10*O9/5729.58</f>
        <v>4.9450977791275002E-3</v>
      </c>
      <c r="Q11" t="s">
        <v>147</v>
      </c>
      <c r="R11">
        <f>R10*R9/5729.58</f>
        <v>4.9450977791275002E-3</v>
      </c>
      <c r="T11" t="s">
        <v>147</v>
      </c>
      <c r="U11">
        <f>U10*U9/5729.58</f>
        <v>4.9450977791275002E-3</v>
      </c>
      <c r="W11" t="s">
        <v>147</v>
      </c>
      <c r="X11">
        <f>X10*X9/5729.58</f>
        <v>4.9450977791275002E-3</v>
      </c>
      <c r="Z11" t="s">
        <v>147</v>
      </c>
      <c r="AA11">
        <f>AA10*AA9/5729.58</f>
        <v>4.9450977791275002E-3</v>
      </c>
      <c r="AC11" t="s">
        <v>147</v>
      </c>
      <c r="AD11">
        <f>AD10*AD9/5729.58</f>
        <v>4.9450977791275002E-3</v>
      </c>
      <c r="AF11" t="s">
        <v>147</v>
      </c>
      <c r="AG11">
        <f>AG10*AG9/5729.58</f>
        <v>4.9450977791275002E-3</v>
      </c>
      <c r="AI11" t="s">
        <v>147</v>
      </c>
      <c r="AJ11">
        <f>AJ10*AJ9/5729.58</f>
        <v>4.9450977791275002E-3</v>
      </c>
      <c r="AL11" t="s">
        <v>147</v>
      </c>
      <c r="AM11">
        <f>AM10*AM9/5729.58</f>
        <v>4.9450977791275002E-3</v>
      </c>
      <c r="AO11" t="s">
        <v>147</v>
      </c>
      <c r="AP11">
        <f>AP10*AP9/5729.58</f>
        <v>4.9450977791275002E-3</v>
      </c>
      <c r="AR11" t="s">
        <v>147</v>
      </c>
      <c r="AS11">
        <f>AS10*AS9/5729.58</f>
        <v>4.9450977791275002E-3</v>
      </c>
      <c r="AU11" t="s">
        <v>147</v>
      </c>
      <c r="AV11">
        <f>AV10*AV9/5729.58</f>
        <v>4.9450977791275002E-3</v>
      </c>
      <c r="AX11" t="s">
        <v>147</v>
      </c>
      <c r="AY11">
        <f>AY10*AY9/5729.58</f>
        <v>4.9450977791275002E-3</v>
      </c>
      <c r="BA11" t="s">
        <v>147</v>
      </c>
      <c r="BB11">
        <f>BB10*BB9/5729.58</f>
        <v>4.9450977791275002E-3</v>
      </c>
      <c r="BD11" t="s">
        <v>147</v>
      </c>
      <c r="BE11">
        <f>BE10*BE9/5729.58</f>
        <v>4.9450977791275002E-3</v>
      </c>
      <c r="BG11" t="s">
        <v>147</v>
      </c>
      <c r="BH11">
        <f>BH10*BH9/5729.58</f>
        <v>4.9450977791275002E-3</v>
      </c>
    </row>
    <row r="12" spans="2:60" x14ac:dyDescent="0.25">
      <c r="B12" t="s">
        <v>148</v>
      </c>
      <c r="C12">
        <f>(C7-C10)/(5729.58*(1/C8-1/C9))</f>
        <v>2.3561936477019253E-2</v>
      </c>
      <c r="E12" t="s">
        <v>148</v>
      </c>
      <c r="F12">
        <f>(F7-F10)/(5729.58*(1/F8-1/F9))</f>
        <v>2.3561936477019253E-2</v>
      </c>
      <c r="H12" t="s">
        <v>148</v>
      </c>
      <c r="I12">
        <f>(I7-I10)/(5729.58*(1/I8-1/I9))</f>
        <v>2.3561936477019253E-2</v>
      </c>
      <c r="K12" t="s">
        <v>148</v>
      </c>
      <c r="L12">
        <f>(L7-L10)/(5729.58*(1/L8-1/L9))</f>
        <v>2.3561936477019253E-2</v>
      </c>
      <c r="N12" t="s">
        <v>148</v>
      </c>
      <c r="O12">
        <f>(O7-O10)/(5729.58*(1/O8-1/O9))</f>
        <v>2.3561936477019253E-2</v>
      </c>
      <c r="Q12" t="s">
        <v>148</v>
      </c>
      <c r="R12">
        <f>(R7-R10)/(5729.58*(1/R8-1/R9))</f>
        <v>2.3561936477019253E-2</v>
      </c>
      <c r="T12" t="s">
        <v>148</v>
      </c>
      <c r="U12">
        <f>(U7-U10)/(5729.58*(1/U8-1/U9))</f>
        <v>2.3561936477019253E-2</v>
      </c>
      <c r="W12" t="s">
        <v>148</v>
      </c>
      <c r="X12">
        <f>(X7-X10)/(5729.58*(1/X8-1/X9))</f>
        <v>2.3561936477019253E-2</v>
      </c>
      <c r="Z12" t="s">
        <v>148</v>
      </c>
      <c r="AA12">
        <f>(AA7-AA10)/(5729.58*(1/AA8-1/AA9))</f>
        <v>2.3561936477019253E-2</v>
      </c>
      <c r="AC12" t="s">
        <v>148</v>
      </c>
      <c r="AD12">
        <f>(AD7-AD10)/(5729.58*(1/AD8-1/AD9))</f>
        <v>2.3561936477019253E-2</v>
      </c>
      <c r="AF12" t="s">
        <v>148</v>
      </c>
      <c r="AG12">
        <f>(AG7-AG10)/(5729.58*(1/AG8-1/AG9))</f>
        <v>2.3561936477019253E-2</v>
      </c>
      <c r="AI12" t="s">
        <v>148</v>
      </c>
      <c r="AJ12">
        <f>(AJ7-AJ10)/(5729.58*(1/AJ8-1/AJ9))</f>
        <v>2.3561936477019253E-2</v>
      </c>
      <c r="AL12" t="s">
        <v>148</v>
      </c>
      <c r="AM12">
        <f>(AM7-AM10)/(5729.58*(1/AM8-1/AM9))</f>
        <v>2.3561936477019253E-2</v>
      </c>
      <c r="AO12" t="s">
        <v>148</v>
      </c>
      <c r="AP12">
        <f>(AP7-AP10)/(5729.58*(1/AP8-1/AP9))</f>
        <v>2.3561936477019253E-2</v>
      </c>
      <c r="AR12" t="s">
        <v>148</v>
      </c>
      <c r="AS12">
        <f>(AS7-AS10)/(5729.58*(1/AS8-1/AS9))</f>
        <v>2.3561936477019253E-2</v>
      </c>
      <c r="AU12" t="s">
        <v>148</v>
      </c>
      <c r="AV12">
        <f>(AV7-AV10)/(5729.58*(1/AV8-1/AV9))</f>
        <v>2.3561936477019253E-2</v>
      </c>
      <c r="AX12" t="s">
        <v>148</v>
      </c>
      <c r="AY12">
        <f>(AY7-AY10)/(5729.58*(1/AY8-1/AY9))</f>
        <v>2.3561936477019253E-2</v>
      </c>
      <c r="BA12" t="s">
        <v>148</v>
      </c>
      <c r="BB12">
        <f>(BB7-BB10)/(5729.58*(1/BB8-1/BB9))</f>
        <v>2.3561936477019253E-2</v>
      </c>
      <c r="BD12" t="s">
        <v>148</v>
      </c>
      <c r="BE12">
        <f>(BE7-BE10)/(5729.58*(1/BE8-1/BE9))</f>
        <v>2.3561936477019253E-2</v>
      </c>
      <c r="BG12" t="s">
        <v>148</v>
      </c>
      <c r="BH12">
        <f>(BH7-BH10)/(5729.58*(1/BH8-1/BH9))</f>
        <v>2.3561936477019253E-2</v>
      </c>
    </row>
    <row r="13" spans="2:60" x14ac:dyDescent="0.25">
      <c r="B13" t="s">
        <v>149</v>
      </c>
      <c r="C13">
        <f>5729.58/C9*(1/C8-1/C9)*(C12-C11)/2*C8</f>
        <v>2.2391304347826078E-2</v>
      </c>
      <c r="E13" t="s">
        <v>149</v>
      </c>
      <c r="F13">
        <f>5729.58/F9*(1/F8-1/F9)*(F12-F11)/2*F8</f>
        <v>2.2391304347826078E-2</v>
      </c>
      <c r="H13" t="s">
        <v>149</v>
      </c>
      <c r="I13">
        <f>5729.58/I9*(1/I8-1/I9)*(I12-I11)/2*I8</f>
        <v>2.2391304347826078E-2</v>
      </c>
      <c r="K13" t="s">
        <v>149</v>
      </c>
      <c r="L13">
        <f>5729.58/L9*(1/L8-1/L9)*(L12-L11)/2*L8</f>
        <v>2.2391304347826078E-2</v>
      </c>
      <c r="N13" t="s">
        <v>149</v>
      </c>
      <c r="O13">
        <f>5729.58/O9*(1/O8-1/O9)*(O12-O11)/2*O8</f>
        <v>2.2391304347826078E-2</v>
      </c>
      <c r="Q13" t="s">
        <v>149</v>
      </c>
      <c r="R13">
        <f>5729.58/R9*(1/R8-1/R9)*(R12-R11)/2*R8</f>
        <v>2.2391304347826078E-2</v>
      </c>
      <c r="T13" t="s">
        <v>149</v>
      </c>
      <c r="U13">
        <f>5729.58/U9*(1/U8-1/U9)*(U12-U11)/2*U8</f>
        <v>2.2391304347826078E-2</v>
      </c>
      <c r="W13" t="s">
        <v>149</v>
      </c>
      <c r="X13">
        <f>5729.58/X9*(1/X8-1/X9)*(X12-X11)/2*X8</f>
        <v>2.2391304347826078E-2</v>
      </c>
      <c r="Z13" t="s">
        <v>149</v>
      </c>
      <c r="AA13">
        <f>5729.58/AA9*(1/AA8-1/AA9)*(AA12-AA11)/2*AA8</f>
        <v>2.2391304347826078E-2</v>
      </c>
      <c r="AC13" t="s">
        <v>149</v>
      </c>
      <c r="AD13">
        <f>5729.58/AD9*(1/AD8-1/AD9)*(AD12-AD11)/2*AD8</f>
        <v>2.2391304347826078E-2</v>
      </c>
      <c r="AF13" t="s">
        <v>149</v>
      </c>
      <c r="AG13">
        <f>5729.58/AG9*(1/AG8-1/AG9)*(AG12-AG11)/2*AG8</f>
        <v>2.2391304347826078E-2</v>
      </c>
      <c r="AI13" t="s">
        <v>149</v>
      </c>
      <c r="AJ13">
        <f>5729.58/AJ9*(1/AJ8-1/AJ9)*(AJ12-AJ11)/2*AJ8</f>
        <v>2.2391304347826078E-2</v>
      </c>
      <c r="AL13" t="s">
        <v>149</v>
      </c>
      <c r="AM13">
        <f>5729.58/AM9*(1/AM8-1/AM9)*(AM12-AM11)/2*AM8</f>
        <v>2.2391304347826078E-2</v>
      </c>
      <c r="AO13" t="s">
        <v>149</v>
      </c>
      <c r="AP13">
        <f>5729.58/AP9*(1/AP8-1/AP9)*(AP12-AP11)/2*AP8</f>
        <v>2.2391304347826078E-2</v>
      </c>
      <c r="AR13" t="s">
        <v>149</v>
      </c>
      <c r="AS13">
        <f>5729.58/AS9*(1/AS8-1/AS9)*(AS12-AS11)/2*AS8</f>
        <v>2.2391304347826078E-2</v>
      </c>
      <c r="AU13" t="s">
        <v>149</v>
      </c>
      <c r="AV13">
        <f>5729.58/AV9*(1/AV8-1/AV9)*(AV12-AV11)/2*AV8</f>
        <v>2.2391304347826078E-2</v>
      </c>
      <c r="AX13" t="s">
        <v>149</v>
      </c>
      <c r="AY13">
        <f>5729.58/AY9*(1/AY8-1/AY9)*(AY12-AY11)/2*AY8</f>
        <v>2.2391304347826078E-2</v>
      </c>
      <c r="BA13" t="s">
        <v>149</v>
      </c>
      <c r="BB13">
        <f>5729.58/BB9*(1/BB8-1/BB9)*(BB12-BB11)/2*BB8</f>
        <v>2.2391304347826078E-2</v>
      </c>
      <c r="BD13" t="s">
        <v>149</v>
      </c>
      <c r="BE13">
        <f>5729.58/BE9*(1/BE8-1/BE9)*(BE12-BE11)/2*BE8</f>
        <v>2.2391304347826078E-2</v>
      </c>
      <c r="BG13" t="s">
        <v>149</v>
      </c>
      <c r="BH13">
        <f>5729.58/BH9*(1/BH8-1/BH9)*(BH12-BH11)/2*BH8</f>
        <v>2.2391304347826078E-2</v>
      </c>
    </row>
    <row r="14" spans="2:60" x14ac:dyDescent="0.25">
      <c r="B14" t="s">
        <v>150</v>
      </c>
      <c r="C14">
        <f>1/C3</f>
        <v>1.30718954248366E-3</v>
      </c>
      <c r="E14" t="s">
        <v>150</v>
      </c>
      <c r="F14">
        <f>1/F3</f>
        <v>1.30718954248366E-3</v>
      </c>
      <c r="H14" t="s">
        <v>150</v>
      </c>
      <c r="I14">
        <f>1/I3</f>
        <v>1.0718113612004287E-3</v>
      </c>
      <c r="K14" t="s">
        <v>150</v>
      </c>
      <c r="L14">
        <f>1/L3</f>
        <v>1.0718113612004287E-3</v>
      </c>
      <c r="N14" t="s">
        <v>150</v>
      </c>
      <c r="O14">
        <f>1/O3</f>
        <v>1.0718113612004287E-3</v>
      </c>
      <c r="Q14" t="s">
        <v>150</v>
      </c>
      <c r="R14">
        <f>1/R3</f>
        <v>1.0718113612004287E-3</v>
      </c>
      <c r="T14" t="s">
        <v>150</v>
      </c>
      <c r="U14">
        <f>1/U3</f>
        <v>1.0718113612004287E-3</v>
      </c>
      <c r="W14" t="s">
        <v>150</v>
      </c>
      <c r="X14">
        <f>1/X3</f>
        <v>1.0718113612004287E-3</v>
      </c>
      <c r="Z14" t="s">
        <v>150</v>
      </c>
      <c r="AA14">
        <f>1/AA3</f>
        <v>1.0718113612004287E-3</v>
      </c>
      <c r="AC14" t="s">
        <v>150</v>
      </c>
      <c r="AD14">
        <f>1/AD3</f>
        <v>1.0718113612004287E-3</v>
      </c>
      <c r="AF14" t="s">
        <v>150</v>
      </c>
      <c r="AG14">
        <f>1/AG3</f>
        <v>1.0718113612004287E-3</v>
      </c>
      <c r="AI14" t="s">
        <v>150</v>
      </c>
      <c r="AJ14">
        <f>1/AJ3</f>
        <v>1.0718113612004287E-3</v>
      </c>
      <c r="AL14" t="s">
        <v>150</v>
      </c>
      <c r="AM14">
        <f>1/AM3</f>
        <v>1.0718113612004287E-3</v>
      </c>
      <c r="AO14" t="s">
        <v>150</v>
      </c>
      <c r="AP14">
        <f>1/AP3</f>
        <v>1.0718113612004287E-3</v>
      </c>
      <c r="AR14" t="s">
        <v>150</v>
      </c>
      <c r="AS14">
        <f>1/AS3</f>
        <v>1.0718113612004287E-3</v>
      </c>
      <c r="AU14" t="s">
        <v>150</v>
      </c>
      <c r="AV14">
        <f>1/AV3</f>
        <v>1.0718113612004287E-3</v>
      </c>
      <c r="AX14" t="s">
        <v>150</v>
      </c>
      <c r="AY14">
        <f>1/AY3</f>
        <v>1.0718113612004287E-3</v>
      </c>
      <c r="BA14" t="s">
        <v>150</v>
      </c>
      <c r="BB14">
        <f>1/BB3</f>
        <v>1.0718113612004287E-3</v>
      </c>
      <c r="BD14" t="s">
        <v>150</v>
      </c>
      <c r="BE14">
        <f>1/BE3</f>
        <v>1.0718113612004287E-3</v>
      </c>
      <c r="BG14" t="s">
        <v>150</v>
      </c>
      <c r="BH14">
        <f>1/BH3</f>
        <v>1.0718113612004287E-3</v>
      </c>
    </row>
    <row r="15" spans="2:60" x14ac:dyDescent="0.25">
      <c r="B15" t="s">
        <v>151</v>
      </c>
      <c r="C15">
        <f>1/C9</f>
        <v>7.4999999999999991E-4</v>
      </c>
      <c r="E15" t="s">
        <v>151</v>
      </c>
      <c r="F15">
        <f>1/F9</f>
        <v>7.4999999999999991E-4</v>
      </c>
      <c r="H15" t="s">
        <v>151</v>
      </c>
      <c r="I15">
        <f>1/I9</f>
        <v>7.4999999999999991E-4</v>
      </c>
      <c r="K15" t="s">
        <v>151</v>
      </c>
      <c r="L15">
        <f>1/L9</f>
        <v>7.4999999999999991E-4</v>
      </c>
      <c r="N15" t="s">
        <v>151</v>
      </c>
      <c r="O15">
        <f>1/O9</f>
        <v>7.4999999999999991E-4</v>
      </c>
      <c r="Q15" t="s">
        <v>151</v>
      </c>
      <c r="R15">
        <f>1/R9</f>
        <v>7.4999999999999991E-4</v>
      </c>
      <c r="T15" t="s">
        <v>151</v>
      </c>
      <c r="U15">
        <f>1/U9</f>
        <v>7.4999999999999991E-4</v>
      </c>
      <c r="W15" t="s">
        <v>151</v>
      </c>
      <c r="X15">
        <f>1/X9</f>
        <v>7.4999999999999991E-4</v>
      </c>
      <c r="Z15" t="s">
        <v>151</v>
      </c>
      <c r="AA15">
        <f>1/AA9</f>
        <v>7.4999999999999991E-4</v>
      </c>
      <c r="AC15" t="s">
        <v>151</v>
      </c>
      <c r="AD15">
        <f>1/AD9</f>
        <v>7.4999999999999991E-4</v>
      </c>
      <c r="AF15" t="s">
        <v>151</v>
      </c>
      <c r="AG15">
        <f>1/AG9</f>
        <v>7.4999999999999991E-4</v>
      </c>
      <c r="AI15" t="s">
        <v>151</v>
      </c>
      <c r="AJ15">
        <f>1/AJ9</f>
        <v>7.4999999999999991E-4</v>
      </c>
      <c r="AL15" t="s">
        <v>151</v>
      </c>
      <c r="AM15">
        <f>1/AM9</f>
        <v>7.4999999999999991E-4</v>
      </c>
      <c r="AO15" t="s">
        <v>151</v>
      </c>
      <c r="AP15">
        <f>1/AP9</f>
        <v>7.4999999999999991E-4</v>
      </c>
      <c r="AR15" t="s">
        <v>151</v>
      </c>
      <c r="AS15">
        <f>1/AS9</f>
        <v>7.4999999999999991E-4</v>
      </c>
      <c r="AU15" t="s">
        <v>151</v>
      </c>
      <c r="AV15">
        <f>1/AV9</f>
        <v>7.4999999999999991E-4</v>
      </c>
      <c r="AX15" t="s">
        <v>151</v>
      </c>
      <c r="AY15">
        <f>1/AY9</f>
        <v>7.4999999999999991E-4</v>
      </c>
      <c r="BA15" t="s">
        <v>151</v>
      </c>
      <c r="BB15">
        <f>1/BB9</f>
        <v>7.4999999999999991E-4</v>
      </c>
      <c r="BD15" t="s">
        <v>151</v>
      </c>
      <c r="BE15">
        <f>1/BE9</f>
        <v>7.4999999999999991E-4</v>
      </c>
      <c r="BG15" t="s">
        <v>151</v>
      </c>
      <c r="BH15">
        <f>1/BH9</f>
        <v>7.4999999999999991E-4</v>
      </c>
    </row>
    <row r="16" spans="2:60" x14ac:dyDescent="0.25">
      <c r="B16" t="s">
        <v>152</v>
      </c>
      <c r="C16">
        <f>IF(C14&lt;=C15,C13*(C9/C3)^2+5729.58*C11/C3,C13*((1/C8-1/C3)/(1/C8-1/C9))^2+C10+5729.58*C12*(1/C3-1/C9))</f>
        <v>0.10034111307970162</v>
      </c>
      <c r="E16" t="s">
        <v>152</v>
      </c>
      <c r="F16">
        <f>IF(F14&lt;=F15,F13*(F9/F3)^2+5729.58*F11/F3,F13*((1/F8-1/F3)/(1/F8-1/F9))^2+F10+5729.58*F12*(1/F3-1/F9))</f>
        <v>0.10034111307970162</v>
      </c>
      <c r="H16" t="s">
        <v>152</v>
      </c>
      <c r="I16">
        <f>IF(I14&lt;=I15,I13*(I9/I3)^2+5729.58*I11/I3,I13*((1/I8-1/I3)/(1/I8-1/I9))^2+I10+5729.58*I12*(1/I3-1/I9))</f>
        <v>7.4524197005718745E-2</v>
      </c>
      <c r="K16" t="s">
        <v>152</v>
      </c>
      <c r="L16">
        <f>IF(L14&lt;=L15,L13*(L9/L3)^2+5729.58*L11/L3,L13*((1/L8-1/L3)/(1/L8-1/L9))^2+L10+5729.58*L12*(1/L3-1/L9))</f>
        <v>7.4524197005718745E-2</v>
      </c>
      <c r="N16" t="s">
        <v>152</v>
      </c>
      <c r="O16">
        <f>IF(O14&lt;=O15,O13*(O9/O3)^2+5729.58*O11/O3,O13*((1/O8-1/O3)/(1/O8-1/O9))^2+O10+5729.58*O12*(1/O3-1/O9))</f>
        <v>7.4524197005718745E-2</v>
      </c>
      <c r="Q16" t="s">
        <v>152</v>
      </c>
      <c r="R16">
        <f>IF(R14&lt;=R15,R13*(R9/R3)^2+5729.58*R11/R3,R13*((1/R8-1/R3)/(1/R8-1/R9))^2+R10+5729.58*R12*(1/R3-1/R9))</f>
        <v>7.4524197005718745E-2</v>
      </c>
      <c r="T16" t="s">
        <v>152</v>
      </c>
      <c r="U16">
        <f>IF(U14&lt;=U15,U13*(U9/U3)^2+5729.58*U11/U3,U13*((1/U8-1/U3)/(1/U8-1/U9))^2+U10+5729.58*U12*(1/U3-1/U9))</f>
        <v>7.4524197005718745E-2</v>
      </c>
      <c r="W16" t="s">
        <v>152</v>
      </c>
      <c r="X16">
        <f>IF(X14&lt;=X15,X13*(X9/X3)^2+5729.58*X11/X3,X13*((1/X8-1/X3)/(1/X8-1/X9))^2+X10+5729.58*X12*(1/X3-1/X9))</f>
        <v>7.4524197005718745E-2</v>
      </c>
      <c r="Z16" t="s">
        <v>152</v>
      </c>
      <c r="AA16">
        <f>IF(AA14&lt;=AA15,AA13*(AA9/AA3)^2+5729.58*AA11/AA3,AA13*((1/AA8-1/AA3)/(1/AA8-1/AA9))^2+AA10+5729.58*AA12*(1/AA3-1/AA9))</f>
        <v>7.4524197005718745E-2</v>
      </c>
      <c r="AC16" t="s">
        <v>152</v>
      </c>
      <c r="AD16">
        <f>IF(AD14&lt;=AD15,AD13*(AD9/AD3)^2+5729.58*AD11/AD3,AD13*((1/AD8-1/AD3)/(1/AD8-1/AD9))^2+AD10+5729.58*AD12*(1/AD3-1/AD9))</f>
        <v>7.4524197005718745E-2</v>
      </c>
      <c r="AF16" t="s">
        <v>152</v>
      </c>
      <c r="AG16">
        <f>IF(AG14&lt;=AG15,AG13*(AG9/AG3)^2+5729.58*AG11/AG3,AG13*((1/AG8-1/AG3)/(1/AG8-1/AG9))^2+AG10+5729.58*AG12*(1/AG3-1/AG9))</f>
        <v>7.4524197005718745E-2</v>
      </c>
      <c r="AI16" t="s">
        <v>152</v>
      </c>
      <c r="AJ16">
        <f>IF(AJ14&lt;=AJ15,AJ13*(AJ9/AJ3)^2+5729.58*AJ11/AJ3,AJ13*((1/AJ8-1/AJ3)/(1/AJ8-1/AJ9))^2+AJ10+5729.58*AJ12*(1/AJ3-1/AJ9))</f>
        <v>7.4524197005718745E-2</v>
      </c>
      <c r="AL16" t="s">
        <v>152</v>
      </c>
      <c r="AM16">
        <f>IF(AM14&lt;=AM15,AM13*(AM9/AM3)^2+5729.58*AM11/AM3,AM13*((1/AM8-1/AM3)/(1/AM8-1/AM9))^2+AM10+5729.58*AM12*(1/AM3-1/AM9))</f>
        <v>7.4524197005718745E-2</v>
      </c>
      <c r="AO16" t="s">
        <v>152</v>
      </c>
      <c r="AP16">
        <f>IF(AP14&lt;=AP15,AP13*(AP9/AP3)^2+5729.58*AP11/AP3,AP13*((1/AP8-1/AP3)/(1/AP8-1/AP9))^2+AP10+5729.58*AP12*(1/AP3-1/AP9))</f>
        <v>7.4524197005718745E-2</v>
      </c>
      <c r="AR16" t="s">
        <v>152</v>
      </c>
      <c r="AS16">
        <f>IF(AS14&lt;=AS15,AS13*(AS9/AS3)^2+5729.58*AS11/AS3,AS13*((1/AS8-1/AS3)/(1/AS8-1/AS9))^2+AS10+5729.58*AS12*(1/AS3-1/AS9))</f>
        <v>7.4524197005718745E-2</v>
      </c>
      <c r="AU16" t="s">
        <v>152</v>
      </c>
      <c r="AV16">
        <f>IF(AV14&lt;=AV15,AV13*(AV9/AV3)^2+5729.58*AV11/AV3,AV13*((1/AV8-1/AV3)/(1/AV8-1/AV9))^2+AV10+5729.58*AV12*(1/AV3-1/AV9))</f>
        <v>7.4524197005718745E-2</v>
      </c>
      <c r="AX16" t="s">
        <v>152</v>
      </c>
      <c r="AY16">
        <f>IF(AY14&lt;=AY15,AY13*(AY9/AY3)^2+5729.58*AY11/AY3,AY13*((1/AY8-1/AY3)/(1/AY8-1/AY9))^2+AY10+5729.58*AY12*(1/AY3-1/AY9))</f>
        <v>7.4524197005718745E-2</v>
      </c>
      <c r="BA16" t="s">
        <v>152</v>
      </c>
      <c r="BB16">
        <f>IF(BB14&lt;=BB15,BB13*(BB9/BB3)^2+5729.58*BB11/BB3,BB13*((1/BB8-1/BB3)/(1/BB8-1/BB9))^2+BB10+5729.58*BB12*(1/BB3-1/BB9))</f>
        <v>7.4524197005718745E-2</v>
      </c>
      <c r="BD16" t="s">
        <v>152</v>
      </c>
      <c r="BE16">
        <f>IF(BE14&lt;=BE15,BE13*(BE9/BE3)^2+5729.58*BE11/BE3,BE13*((1/BE8-1/BE3)/(1/BE8-1/BE9))^2+BE10+5729.58*BE12*(1/BE3-1/BE9))</f>
        <v>7.4524197005718745E-2</v>
      </c>
      <c r="BG16" t="s">
        <v>152</v>
      </c>
      <c r="BH16">
        <f>IF(BH14&lt;=BH15,BH13*(BH9/BH3)^2+5729.58*BH11/BH3,BH13*((1/BH8-1/BH3)/(1/BH8-1/BH9))^2+BH10+5729.58*BH12*(1/BH3-1/BH9))</f>
        <v>7.4524197005718745E-2</v>
      </c>
    </row>
    <row r="17" spans="2:60" x14ac:dyDescent="0.25">
      <c r="B17" t="s">
        <v>154</v>
      </c>
      <c r="C17">
        <f>(C5^2/(15*C3)-C16)*100</f>
        <v>7.6129475155592514</v>
      </c>
      <c r="E17" t="s">
        <v>154</v>
      </c>
      <c r="F17">
        <f>(F5^2/(15*F3)-F16)*100</f>
        <v>7.6129475155592514</v>
      </c>
      <c r="H17" t="s">
        <v>154</v>
      </c>
      <c r="I17">
        <f>(I5^2/(15*I3)-I16)*100</f>
        <v>7.0170336756339129</v>
      </c>
      <c r="K17" t="s">
        <v>154</v>
      </c>
      <c r="L17">
        <f>(L5^2/(15*L3)-L16)*100</f>
        <v>7.0170336756339129</v>
      </c>
      <c r="N17" t="s">
        <v>154</v>
      </c>
      <c r="O17">
        <f>(O5^2/(15*O3)-O16)*100</f>
        <v>7.0170336756339129</v>
      </c>
      <c r="Q17" t="s">
        <v>154</v>
      </c>
      <c r="R17">
        <f>(R5^2/(15*R3)-R16)*100</f>
        <v>7.0170336756339129</v>
      </c>
      <c r="T17" t="s">
        <v>154</v>
      </c>
      <c r="U17">
        <f>(U5^2/(15*U3)-U16)*100</f>
        <v>7.0170336756339129</v>
      </c>
      <c r="W17" t="s">
        <v>154</v>
      </c>
      <c r="X17">
        <f>(X5^2/(15*X3)-X16)*100</f>
        <v>7.0170336756339129</v>
      </c>
      <c r="Z17" t="s">
        <v>154</v>
      </c>
      <c r="AA17">
        <f>(AA5^2/(15*AA3)-AA16)*100</f>
        <v>7.0170336756339129</v>
      </c>
      <c r="AC17" t="s">
        <v>154</v>
      </c>
      <c r="AD17">
        <f>(AD5^2/(15*AD3)-AD16)*100</f>
        <v>7.0170336756339129</v>
      </c>
      <c r="AF17" t="s">
        <v>154</v>
      </c>
      <c r="AG17">
        <f>(AG5^2/(15*AG3)-AG16)*100</f>
        <v>7.0170336756339129</v>
      </c>
      <c r="AI17" t="s">
        <v>154</v>
      </c>
      <c r="AJ17">
        <f>(AJ5^2/(15*AJ3)-AJ16)*100</f>
        <v>7.0170336756339129</v>
      </c>
      <c r="AL17" t="s">
        <v>154</v>
      </c>
      <c r="AM17">
        <f>(AM5^2/(15*AM3)-AM16)*100</f>
        <v>7.0170336756339129</v>
      </c>
      <c r="AO17" t="s">
        <v>154</v>
      </c>
      <c r="AP17">
        <f>(AP5^2/(15*AP3)-AP16)*100</f>
        <v>7.0170336756339129</v>
      </c>
      <c r="AR17" t="s">
        <v>154</v>
      </c>
      <c r="AS17">
        <f>(AS5^2/(15*AS3)-AS16)*100</f>
        <v>7.0170336756339129</v>
      </c>
      <c r="AU17" t="s">
        <v>154</v>
      </c>
      <c r="AV17">
        <f>(AV5^2/(15*AV3)-AV16)*100</f>
        <v>7.0170336756339129</v>
      </c>
      <c r="AX17" t="s">
        <v>154</v>
      </c>
      <c r="AY17">
        <f>(AY5^2/(15*AY3)-AY16)*100</f>
        <v>7.0170336756339129</v>
      </c>
      <c r="BA17" t="s">
        <v>154</v>
      </c>
      <c r="BB17">
        <f>(BB5^2/(15*BB3)-BB16)*100</f>
        <v>7.0170336756339129</v>
      </c>
      <c r="BD17" t="s">
        <v>154</v>
      </c>
      <c r="BE17">
        <f>(BE5^2/(15*BE3)-BE16)*100</f>
        <v>7.0170336756339129</v>
      </c>
      <c r="BG17" t="s">
        <v>154</v>
      </c>
      <c r="BH17">
        <f>(BH5^2/(15*BH3)-BH16)*100</f>
        <v>7.0170336756339129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67"/>
  <sheetViews>
    <sheetView showGridLines="0" tabSelected="1" zoomScale="75" zoomScaleNormal="75" workbookViewId="0">
      <selection activeCell="D20" sqref="D20"/>
    </sheetView>
  </sheetViews>
  <sheetFormatPr defaultRowHeight="15" x14ac:dyDescent="0.25"/>
  <cols>
    <col min="2" max="2" width="28.7109375" customWidth="1"/>
    <col min="3" max="3" width="18.5703125" customWidth="1"/>
    <col min="4" max="4" width="15.5703125" customWidth="1"/>
    <col min="5" max="5" width="16.140625" customWidth="1"/>
    <col min="6" max="6" width="19.85546875" customWidth="1"/>
    <col min="8" max="8" width="13.85546875" customWidth="1"/>
    <col min="9" max="9" width="11" customWidth="1"/>
    <col min="10" max="10" width="11.28515625" customWidth="1"/>
    <col min="11" max="11" width="10.5703125" customWidth="1"/>
    <col min="12" max="12" width="15.28515625" customWidth="1"/>
    <col min="13" max="13" width="13.85546875" customWidth="1"/>
    <col min="14" max="14" width="8.28515625" customWidth="1"/>
    <col min="15" max="15" width="13.7109375" customWidth="1"/>
    <col min="16" max="16" width="15.42578125" customWidth="1"/>
  </cols>
  <sheetData>
    <row r="1" spans="1:17" x14ac:dyDescent="0.25">
      <c r="B1" s="575" t="s">
        <v>169</v>
      </c>
      <c r="C1" s="575"/>
      <c r="D1" s="575"/>
      <c r="E1" s="575"/>
      <c r="F1" s="575"/>
      <c r="G1" s="575"/>
      <c r="H1" s="575"/>
    </row>
    <row r="2" spans="1:17" ht="15.75" thickBot="1" x14ac:dyDescent="0.3"/>
    <row r="3" spans="1:17" ht="15" customHeight="1" thickTop="1" x14ac:dyDescent="0.25">
      <c r="B3" s="565" t="s">
        <v>472</v>
      </c>
      <c r="C3" s="565"/>
      <c r="E3" s="581" t="s">
        <v>317</v>
      </c>
      <c r="F3" s="582"/>
      <c r="G3" s="598" t="s">
        <v>100</v>
      </c>
      <c r="H3" s="598"/>
      <c r="I3" s="594" t="s">
        <v>7</v>
      </c>
      <c r="J3" s="594"/>
      <c r="K3" s="598" t="s">
        <v>79</v>
      </c>
      <c r="L3" s="612"/>
      <c r="N3" s="572" t="s">
        <v>379</v>
      </c>
      <c r="O3" s="572"/>
      <c r="P3" s="374">
        <f>SUM('R2U_Calculations'!L52:L55)</f>
        <v>0.11700890826114796</v>
      </c>
    </row>
    <row r="4" spans="1:17" ht="20.100000000000001" customHeight="1" x14ac:dyDescent="0.25">
      <c r="B4" s="13" t="s">
        <v>191</v>
      </c>
      <c r="C4" s="115">
        <v>0.13300000000000001</v>
      </c>
      <c r="E4" s="583"/>
      <c r="F4" s="584"/>
      <c r="G4" s="565"/>
      <c r="H4" s="565"/>
      <c r="I4" s="577"/>
      <c r="J4" s="577"/>
      <c r="K4" s="565"/>
      <c r="L4" s="613"/>
      <c r="N4" s="572" t="s">
        <v>380</v>
      </c>
      <c r="O4" s="572"/>
      <c r="P4" s="374">
        <f>'R2U_Calculations'!L56</f>
        <v>0.2609268419363584</v>
      </c>
    </row>
    <row r="5" spans="1:17" ht="20.100000000000001" customHeight="1" x14ac:dyDescent="0.25">
      <c r="B5" s="13" t="s">
        <v>286</v>
      </c>
      <c r="C5" s="283">
        <v>2660</v>
      </c>
      <c r="E5" s="585" t="s">
        <v>298</v>
      </c>
      <c r="F5" s="586"/>
      <c r="G5" s="595">
        <f>'R2U_Calculations'!C43</f>
        <v>15750</v>
      </c>
      <c r="H5" s="595"/>
      <c r="I5" s="599"/>
      <c r="J5" s="599"/>
      <c r="K5" s="595">
        <f>IF('R2U_Ref'!M14=1,G5,IF('R2U_Ref'!M14=2,IF(I5&lt;&gt;"",I5,G5),"SELECT VALUE"))</f>
        <v>15750</v>
      </c>
      <c r="L5" s="614" t="str">
        <f>IF('R2U_Ref'!K28=1,'R2U_Setup'!#REF!,IF('R2U_Ref'!K28=2,IF(K5&lt;&gt;"",'R2U_Setup'!#REF!,J5),"SELECT VALUE"))</f>
        <v>SELECT VALUE</v>
      </c>
      <c r="N5" s="572" t="s">
        <v>381</v>
      </c>
      <c r="O5" s="572"/>
      <c r="P5" s="374">
        <f>SUM('R2U_Calculations'!L64:L67)</f>
        <v>0.11585040421895837</v>
      </c>
    </row>
    <row r="6" spans="1:17" ht="20.100000000000001" customHeight="1" x14ac:dyDescent="0.25">
      <c r="B6" s="13" t="s">
        <v>2</v>
      </c>
      <c r="C6" s="277"/>
      <c r="D6" s="278"/>
      <c r="E6" s="28" t="s">
        <v>201</v>
      </c>
      <c r="F6" s="4"/>
      <c r="G6" s="118"/>
      <c r="H6" s="118"/>
      <c r="I6" s="4"/>
      <c r="J6" s="4"/>
      <c r="K6" s="4"/>
      <c r="L6" s="116"/>
      <c r="N6" s="572" t="s">
        <v>382</v>
      </c>
      <c r="O6" s="572"/>
      <c r="P6" s="374">
        <f>'R2U_Calculations'!L68</f>
        <v>0.25834340785778059</v>
      </c>
    </row>
    <row r="7" spans="1:17" ht="20.100000000000001" customHeight="1" x14ac:dyDescent="0.25">
      <c r="B7" s="13" t="s">
        <v>61</v>
      </c>
      <c r="C7" s="279"/>
      <c r="D7" s="278"/>
      <c r="E7" s="589"/>
      <c r="F7" s="590"/>
      <c r="G7" s="604"/>
      <c r="H7" s="604"/>
      <c r="I7" s="4"/>
      <c r="J7" s="602"/>
      <c r="K7" s="603"/>
      <c r="L7" s="11"/>
      <c r="N7" s="572" t="s">
        <v>383</v>
      </c>
      <c r="O7" s="572"/>
      <c r="P7" s="374">
        <f>SUM('R2U_Calculations'!L58:L61)</f>
        <v>1.1585040421895848E-3</v>
      </c>
    </row>
    <row r="8" spans="1:17" ht="20.100000000000001" customHeight="1" x14ac:dyDescent="0.25">
      <c r="A8" s="4"/>
      <c r="B8" s="275"/>
      <c r="C8" s="275"/>
      <c r="D8" s="276"/>
      <c r="E8" s="587"/>
      <c r="F8" s="588"/>
      <c r="G8" s="596"/>
      <c r="H8" s="597"/>
      <c r="I8" s="7"/>
      <c r="J8" s="600"/>
      <c r="K8" s="601"/>
      <c r="L8" s="117"/>
      <c r="N8" s="572" t="s">
        <v>384</v>
      </c>
      <c r="O8" s="572"/>
      <c r="P8" s="374">
        <f>'R2U_Calculations'!L62</f>
        <v>2.5834340785778082E-3</v>
      </c>
    </row>
    <row r="9" spans="1:17" ht="20.100000000000001" customHeight="1" x14ac:dyDescent="0.25">
      <c r="A9" s="3"/>
      <c r="B9" s="606" t="s">
        <v>62</v>
      </c>
      <c r="C9" s="607"/>
      <c r="D9" s="8"/>
      <c r="E9" s="608" t="s">
        <v>287</v>
      </c>
      <c r="F9" s="609"/>
      <c r="G9" s="610">
        <f>'R2U_Calculations'!L76</f>
        <v>752.19835181949531</v>
      </c>
      <c r="H9" s="611"/>
      <c r="I9" s="2"/>
      <c r="J9" s="605" t="s">
        <v>101</v>
      </c>
      <c r="K9" s="605"/>
      <c r="L9" s="119">
        <f>G10/K5</f>
        <v>0.50595555902409595</v>
      </c>
    </row>
    <row r="10" spans="1:17" ht="20.100000000000001" customHeight="1" thickBot="1" x14ac:dyDescent="0.3">
      <c r="B10" s="623" t="s">
        <v>63</v>
      </c>
      <c r="C10" s="624"/>
      <c r="D10" s="8"/>
      <c r="E10" s="617" t="s">
        <v>288</v>
      </c>
      <c r="F10" s="618"/>
      <c r="G10" s="619">
        <f>G9*((1+'R2U_Setup'!F50)^20-1)/('R2U_Setup'!F50*(1+'R2U_Setup'!F50)^20)</f>
        <v>7968.8000546295107</v>
      </c>
      <c r="H10" s="619"/>
      <c r="I10" s="12"/>
      <c r="J10" s="620" t="s">
        <v>289</v>
      </c>
      <c r="K10" s="620"/>
      <c r="L10" s="218">
        <f>G10-K5</f>
        <v>-7781.1999453704893</v>
      </c>
    </row>
    <row r="11" spans="1:17" ht="20.100000000000001" customHeight="1" thickTop="1" x14ac:dyDescent="0.25">
      <c r="B11" s="593" t="s">
        <v>64</v>
      </c>
      <c r="C11" s="593"/>
      <c r="D11" s="9"/>
      <c r="E11" s="4"/>
      <c r="F11" s="4"/>
      <c r="G11" s="4"/>
      <c r="H11" s="4"/>
      <c r="I11" s="4"/>
      <c r="J11" s="4"/>
      <c r="K11" s="4"/>
      <c r="L11" s="4"/>
      <c r="M11" s="4"/>
    </row>
    <row r="12" spans="1:17" ht="20.100000000000001" customHeight="1" x14ac:dyDescent="0.25">
      <c r="B12" s="375" t="s">
        <v>190</v>
      </c>
      <c r="D12" s="4"/>
      <c r="E12" s="625"/>
      <c r="F12" s="625"/>
      <c r="G12" s="625"/>
      <c r="H12" s="8"/>
      <c r="I12" s="4"/>
      <c r="J12" s="4"/>
      <c r="K12" s="4"/>
      <c r="L12" s="4"/>
      <c r="M12" s="4"/>
      <c r="N12" s="4"/>
      <c r="O12" s="4"/>
    </row>
    <row r="13" spans="1:17" ht="20.100000000000001" customHeight="1" x14ac:dyDescent="0.25">
      <c r="A13" s="4"/>
      <c r="B13" s="578"/>
      <c r="C13" s="579"/>
      <c r="D13" s="8"/>
      <c r="E13" s="626"/>
      <c r="F13" s="626"/>
      <c r="G13" s="626"/>
      <c r="H13" s="7"/>
      <c r="I13" s="565" t="s">
        <v>67</v>
      </c>
      <c r="J13" s="565"/>
      <c r="K13" s="565"/>
      <c r="L13" s="565"/>
      <c r="M13" s="565"/>
      <c r="N13" s="565"/>
      <c r="O13" s="565"/>
      <c r="P13" s="565"/>
      <c r="Q13" s="4"/>
    </row>
    <row r="14" spans="1:17" ht="20.100000000000001" customHeight="1" x14ac:dyDescent="0.25">
      <c r="B14" s="565" t="s">
        <v>57</v>
      </c>
      <c r="C14" s="565"/>
      <c r="D14" s="4"/>
      <c r="E14" s="626"/>
      <c r="F14" s="626"/>
      <c r="G14" s="626"/>
      <c r="H14" s="7"/>
      <c r="I14" s="572" t="s">
        <v>196</v>
      </c>
      <c r="J14" s="572"/>
      <c r="K14" s="572"/>
      <c r="L14" s="572"/>
      <c r="M14" s="627">
        <v>2</v>
      </c>
      <c r="N14" s="627"/>
      <c r="O14" s="627"/>
      <c r="P14" s="627"/>
      <c r="Q14" s="4"/>
    </row>
    <row r="15" spans="1:17" ht="20.100000000000001" customHeight="1" x14ac:dyDescent="0.25">
      <c r="B15" s="13" t="s">
        <v>176</v>
      </c>
      <c r="C15" s="3"/>
      <c r="H15" s="3"/>
      <c r="I15" s="572" t="s">
        <v>197</v>
      </c>
      <c r="J15" s="572"/>
      <c r="K15" s="572"/>
      <c r="L15" s="572"/>
      <c r="M15" s="628">
        <v>0.08</v>
      </c>
      <c r="N15" s="628"/>
      <c r="O15" s="628"/>
      <c r="P15" s="628"/>
      <c r="Q15" s="4"/>
    </row>
    <row r="16" spans="1:17" ht="20.100000000000001" customHeight="1" x14ac:dyDescent="0.25">
      <c r="B16" s="13" t="s">
        <v>385</v>
      </c>
      <c r="C16" s="280"/>
      <c r="E16" s="565" t="s">
        <v>65</v>
      </c>
      <c r="F16" s="565"/>
      <c r="G16" s="565"/>
      <c r="H16" s="222"/>
      <c r="I16" s="572" t="s">
        <v>198</v>
      </c>
      <c r="J16" s="572"/>
      <c r="K16" s="572"/>
      <c r="L16" s="572"/>
      <c r="M16" s="629">
        <v>45</v>
      </c>
      <c r="N16" s="629"/>
      <c r="O16" s="629"/>
      <c r="P16" s="629"/>
    </row>
    <row r="17" spans="1:16" ht="21" customHeight="1" x14ac:dyDescent="0.25">
      <c r="B17" s="13" t="s">
        <v>386</v>
      </c>
      <c r="C17" s="1"/>
      <c r="E17" s="580" t="s">
        <v>192</v>
      </c>
      <c r="F17" s="580"/>
      <c r="G17" s="58">
        <v>0</v>
      </c>
      <c r="H17" s="223"/>
      <c r="I17" s="572" t="s">
        <v>70</v>
      </c>
      <c r="J17" s="621" t="s">
        <v>311</v>
      </c>
      <c r="K17" s="621" t="s">
        <v>312</v>
      </c>
      <c r="L17" s="630" t="s">
        <v>126</v>
      </c>
      <c r="M17" s="630" t="s">
        <v>72</v>
      </c>
      <c r="N17" s="621" t="s">
        <v>199</v>
      </c>
      <c r="O17" s="621" t="s">
        <v>76</v>
      </c>
      <c r="P17" s="621" t="s">
        <v>200</v>
      </c>
    </row>
    <row r="18" spans="1:16" ht="23.25" customHeight="1" x14ac:dyDescent="0.25">
      <c r="B18" s="281" t="s">
        <v>175</v>
      </c>
      <c r="C18" s="3"/>
      <c r="E18" s="580" t="s">
        <v>66</v>
      </c>
      <c r="F18" s="580"/>
      <c r="G18" s="59">
        <v>2000</v>
      </c>
      <c r="H18" s="224"/>
      <c r="I18" s="572"/>
      <c r="J18" s="622"/>
      <c r="K18" s="622"/>
      <c r="L18" s="631"/>
      <c r="M18" s="631"/>
      <c r="N18" s="622"/>
      <c r="O18" s="622"/>
      <c r="P18" s="622"/>
    </row>
    <row r="19" spans="1:16" ht="21" customHeight="1" x14ac:dyDescent="0.25">
      <c r="B19" s="282" t="s">
        <v>73</v>
      </c>
      <c r="C19" s="25"/>
      <c r="E19" s="580" t="s">
        <v>193</v>
      </c>
      <c r="F19" s="580"/>
      <c r="G19" s="60">
        <v>0</v>
      </c>
      <c r="H19" s="225"/>
      <c r="I19" s="29">
        <v>1</v>
      </c>
      <c r="J19" s="84">
        <v>5.2999999999999999E-2</v>
      </c>
      <c r="K19" s="84">
        <v>2.8000000000000001E-2</v>
      </c>
      <c r="L19" s="88">
        <v>765</v>
      </c>
      <c r="M19" s="85" t="s">
        <v>187</v>
      </c>
      <c r="N19" s="86">
        <v>3.8600000000000002E-2</v>
      </c>
      <c r="O19" s="86" t="s">
        <v>186</v>
      </c>
      <c r="P19" s="86">
        <v>7.5999999999999998E-2</v>
      </c>
    </row>
    <row r="20" spans="1:16" ht="21" customHeight="1" x14ac:dyDescent="0.25">
      <c r="B20" s="282" t="s">
        <v>74</v>
      </c>
      <c r="C20" s="25"/>
      <c r="E20" s="580" t="s">
        <v>195</v>
      </c>
      <c r="F20" s="580"/>
      <c r="G20" s="61" t="s">
        <v>187</v>
      </c>
      <c r="H20" s="226"/>
      <c r="I20" s="29">
        <v>2</v>
      </c>
      <c r="J20" s="84">
        <v>6.6000000000000003E-2</v>
      </c>
      <c r="K20" s="84">
        <v>3.1E-2</v>
      </c>
      <c r="L20" s="88">
        <v>933</v>
      </c>
      <c r="M20" s="85" t="s">
        <v>187</v>
      </c>
      <c r="N20" s="86">
        <v>3.7999999999999999E-2</v>
      </c>
      <c r="O20" s="86" t="s">
        <v>186</v>
      </c>
      <c r="P20" s="86">
        <v>7.0000000000000007E-2</v>
      </c>
    </row>
    <row r="21" spans="1:16" x14ac:dyDescent="0.25">
      <c r="I21" s="128">
        <v>3</v>
      </c>
      <c r="J21" s="84">
        <v>0.25600000000000001</v>
      </c>
      <c r="K21" s="84">
        <v>0</v>
      </c>
      <c r="L21" s="88">
        <v>933</v>
      </c>
      <c r="M21" s="85" t="s">
        <v>187</v>
      </c>
      <c r="N21" s="127">
        <v>4.3999999999999997E-2</v>
      </c>
      <c r="O21" s="127" t="s">
        <v>186</v>
      </c>
      <c r="P21" s="127">
        <v>7.0000000000000007E-2</v>
      </c>
    </row>
    <row r="22" spans="1:16" x14ac:dyDescent="0.25">
      <c r="B22" s="615" t="s">
        <v>318</v>
      </c>
      <c r="C22" s="615"/>
      <c r="E22" s="565" t="s">
        <v>321</v>
      </c>
      <c r="F22" s="565"/>
      <c r="G22" s="565"/>
      <c r="H22" s="221"/>
      <c r="I22" s="87">
        <v>4</v>
      </c>
      <c r="J22" s="84">
        <v>0.25600000000000001</v>
      </c>
      <c r="K22" s="84">
        <v>0</v>
      </c>
      <c r="L22" s="88">
        <v>933</v>
      </c>
      <c r="M22" s="85" t="s">
        <v>187</v>
      </c>
      <c r="N22" s="86">
        <v>4.3999999999999997E-2</v>
      </c>
      <c r="O22" s="86" t="s">
        <v>186</v>
      </c>
      <c r="P22" s="86">
        <v>7.0000000000000007E-2</v>
      </c>
    </row>
    <row r="23" spans="1:16" ht="20.100000000000001" customHeight="1" x14ac:dyDescent="0.25">
      <c r="B23" s="616" t="s">
        <v>320</v>
      </c>
      <c r="C23" s="616"/>
      <c r="E23" s="591" t="s">
        <v>322</v>
      </c>
      <c r="F23" s="592"/>
      <c r="G23" s="355">
        <v>4</v>
      </c>
      <c r="I23" s="29">
        <v>5</v>
      </c>
      <c r="J23" s="84">
        <v>0.25600000000000001</v>
      </c>
      <c r="K23" s="84">
        <v>0</v>
      </c>
      <c r="L23" s="88">
        <v>933</v>
      </c>
      <c r="M23" s="85" t="s">
        <v>187</v>
      </c>
      <c r="N23" s="86">
        <v>4.3999999999999997E-2</v>
      </c>
      <c r="O23" s="86" t="s">
        <v>186</v>
      </c>
      <c r="P23" s="86">
        <v>7.0000000000000007E-2</v>
      </c>
    </row>
    <row r="24" spans="1:16" ht="20.100000000000001" customHeight="1" x14ac:dyDescent="0.25">
      <c r="B24" s="220" t="s">
        <v>186</v>
      </c>
      <c r="C24" s="219" t="s">
        <v>187</v>
      </c>
      <c r="E24" s="591" t="s">
        <v>323</v>
      </c>
      <c r="F24" s="592"/>
      <c r="G24" s="355">
        <v>2</v>
      </c>
      <c r="I24" s="29">
        <v>6</v>
      </c>
      <c r="J24" s="84">
        <v>0.25600000000000001</v>
      </c>
      <c r="K24" s="84">
        <v>0</v>
      </c>
      <c r="L24" s="88">
        <v>933</v>
      </c>
      <c r="M24" s="85" t="s">
        <v>187</v>
      </c>
      <c r="N24" s="86">
        <v>4.3999999999999997E-2</v>
      </c>
      <c r="O24" s="86" t="s">
        <v>186</v>
      </c>
      <c r="P24" s="86">
        <v>7.0000000000000007E-2</v>
      </c>
    </row>
    <row r="25" spans="1:16" ht="20.100000000000001" customHeight="1" x14ac:dyDescent="0.25">
      <c r="E25" s="591" t="s">
        <v>324</v>
      </c>
      <c r="F25" s="592"/>
      <c r="G25" s="355">
        <v>1</v>
      </c>
      <c r="I25" s="29">
        <v>7</v>
      </c>
      <c r="J25" s="84">
        <v>0.25600000000000001</v>
      </c>
      <c r="K25" s="84">
        <v>0</v>
      </c>
      <c r="L25" s="88">
        <v>933</v>
      </c>
      <c r="M25" s="85" t="s">
        <v>187</v>
      </c>
      <c r="N25" s="86">
        <v>5.1999999999999998E-2</v>
      </c>
      <c r="O25" s="86" t="s">
        <v>186</v>
      </c>
      <c r="P25" s="86">
        <v>7.0000000000000007E-2</v>
      </c>
    </row>
    <row r="26" spans="1:16" ht="15" customHeight="1" x14ac:dyDescent="0.25">
      <c r="A26" s="4"/>
      <c r="B26" s="379"/>
      <c r="C26" s="377"/>
      <c r="D26" s="376"/>
      <c r="E26" s="378"/>
      <c r="G26" s="434"/>
      <c r="I26" s="29">
        <v>8</v>
      </c>
      <c r="J26" s="84">
        <v>0.25600000000000001</v>
      </c>
      <c r="K26" s="84">
        <v>0</v>
      </c>
      <c r="L26" s="88">
        <v>933</v>
      </c>
      <c r="M26" s="85" t="s">
        <v>187</v>
      </c>
      <c r="N26" s="86">
        <v>5.1999999999999998E-2</v>
      </c>
      <c r="O26" s="86" t="s">
        <v>186</v>
      </c>
      <c r="P26" s="86">
        <v>7.0000000000000007E-2</v>
      </c>
    </row>
    <row r="27" spans="1:16" ht="15" customHeight="1" x14ac:dyDescent="0.25">
      <c r="B27" s="634" t="s">
        <v>332</v>
      </c>
      <c r="C27" s="576" t="s">
        <v>76</v>
      </c>
      <c r="D27" s="640" t="s">
        <v>314</v>
      </c>
      <c r="E27" s="641"/>
      <c r="F27" s="577" t="s">
        <v>167</v>
      </c>
      <c r="I27" s="29">
        <v>9</v>
      </c>
      <c r="J27" s="84">
        <v>0.25600000000000001</v>
      </c>
      <c r="K27" s="84">
        <v>0</v>
      </c>
      <c r="L27" s="88">
        <v>933</v>
      </c>
      <c r="M27" s="85" t="s">
        <v>187</v>
      </c>
      <c r="N27" s="86">
        <v>5.1999999999999998E-2</v>
      </c>
      <c r="O27" s="86" t="s">
        <v>186</v>
      </c>
      <c r="P27" s="86">
        <v>7.0000000000000007E-2</v>
      </c>
    </row>
    <row r="28" spans="1:16" ht="24.95" customHeight="1" x14ac:dyDescent="0.25">
      <c r="B28" s="635"/>
      <c r="C28" s="576"/>
      <c r="D28" s="642"/>
      <c r="E28" s="643"/>
      <c r="F28" s="577"/>
      <c r="I28" s="29">
        <v>10</v>
      </c>
      <c r="J28" s="84">
        <v>0.25600000000000001</v>
      </c>
      <c r="K28" s="84">
        <v>0</v>
      </c>
      <c r="L28" s="88">
        <v>933</v>
      </c>
      <c r="M28" s="85" t="s">
        <v>187</v>
      </c>
      <c r="N28" s="86">
        <v>5.1999999999999998E-2</v>
      </c>
      <c r="O28" s="86" t="s">
        <v>186</v>
      </c>
      <c r="P28" s="86">
        <v>7.0000000000000007E-2</v>
      </c>
    </row>
    <row r="29" spans="1:16" ht="30" customHeight="1" x14ac:dyDescent="0.25">
      <c r="B29" s="284" t="s">
        <v>176</v>
      </c>
      <c r="C29" s="27"/>
      <c r="D29" s="636"/>
      <c r="E29" s="637"/>
      <c r="F29" s="373" t="str">
        <f>IF('R2U_Ref'!J7=TRUE,IF('R2U_Ref'!L7&lt;&gt;"",'R2U_Ref'!L7,"SELECT VALUE"),"Retain Lane Width")</f>
        <v>Retain Lane Width</v>
      </c>
    </row>
    <row r="30" spans="1:16" ht="30" customHeight="1" x14ac:dyDescent="0.25">
      <c r="B30" s="13" t="s">
        <v>385</v>
      </c>
      <c r="C30" s="27"/>
      <c r="D30" s="636"/>
      <c r="E30" s="637"/>
      <c r="F30" s="285" t="str">
        <f>IF('R2U_Ref'!J8=TRUE,IF('R2U_Ref'!L8&lt;&gt;"",'R2U_Ref'!L8,"SELECT VALUE"),"Retain Shoulder Width")</f>
        <v>Retain Shoulder Width</v>
      </c>
      <c r="L30" s="526"/>
      <c r="M30" s="565" t="s">
        <v>395</v>
      </c>
      <c r="N30" s="565"/>
      <c r="O30" s="565"/>
      <c r="P30" s="565"/>
    </row>
    <row r="31" spans="1:16" ht="30" customHeight="1" x14ac:dyDescent="0.25">
      <c r="B31" s="13" t="s">
        <v>386</v>
      </c>
      <c r="C31" s="27"/>
      <c r="D31" s="636"/>
      <c r="E31" s="637"/>
      <c r="F31" s="285" t="str">
        <f>IF('R2U_Ref'!F92=1,"Paved Shoulder",IF('R2U_Ref'!J9=TRUE,CONCATENATE('R2U_Ref'!I92," Shoulder"),"Unpaved Shoulder"))</f>
        <v>Unpaved Shoulder</v>
      </c>
      <c r="H31" s="568" t="s">
        <v>316</v>
      </c>
      <c r="I31" s="569"/>
      <c r="J31" s="569"/>
      <c r="K31" s="570"/>
      <c r="M31" s="571" t="s">
        <v>397</v>
      </c>
      <c r="N31" s="571"/>
      <c r="O31" s="571"/>
      <c r="P31" s="503">
        <v>2</v>
      </c>
    </row>
    <row r="32" spans="1:16" ht="30" customHeight="1" x14ac:dyDescent="0.25">
      <c r="B32" s="13" t="s">
        <v>175</v>
      </c>
      <c r="C32" s="27"/>
      <c r="D32" s="638"/>
      <c r="E32" s="639"/>
      <c r="F32" s="381" t="str">
        <f>IF('R2U_Ref'!J10=TRUE,IF('R2U_Ref'!L10&lt;&gt;0,'R2U_Ref'!L10,"SELECT VALUE"),"Retain Roadside Slope")</f>
        <v>1V:3H</v>
      </c>
      <c r="H32" s="566" t="s">
        <v>257</v>
      </c>
      <c r="I32" s="567"/>
      <c r="J32" s="573">
        <v>0.2</v>
      </c>
      <c r="K32" s="573"/>
      <c r="M32" s="572" t="s">
        <v>198</v>
      </c>
      <c r="N32" s="572"/>
      <c r="O32" s="572"/>
      <c r="P32" s="503">
        <v>55</v>
      </c>
    </row>
    <row r="33" spans="2:16" ht="30" customHeight="1" x14ac:dyDescent="0.25">
      <c r="B33" s="13" t="s">
        <v>73</v>
      </c>
      <c r="C33" s="27"/>
      <c r="D33" s="632"/>
      <c r="E33" s="633"/>
      <c r="F33" s="382" t="str">
        <f>IF('R2U_Ref'!C111=1,"Retain Centerline Rumble Strip",IF('R2U_Ref'!J11=TRUE,"Install","Not Selected"))</f>
        <v>Not Selected</v>
      </c>
      <c r="H33" s="566" t="s">
        <v>258</v>
      </c>
      <c r="I33" s="567"/>
      <c r="J33" s="573">
        <v>0.25</v>
      </c>
      <c r="K33" s="573"/>
      <c r="M33" s="571" t="s">
        <v>399</v>
      </c>
      <c r="N33" s="571"/>
      <c r="O33" s="571"/>
      <c r="P33" s="502">
        <v>1</v>
      </c>
    </row>
    <row r="34" spans="2:16" ht="30" customHeight="1" x14ac:dyDescent="0.25">
      <c r="B34" s="13" t="s">
        <v>74</v>
      </c>
      <c r="C34" s="27"/>
      <c r="D34" s="632"/>
      <c r="E34" s="633"/>
      <c r="F34" s="382" t="str">
        <f>IF('R2U_Ref'!C114=1,"Retain Shoulder Rumble Strip",IF('R2U_Ref'!J12=TRUE,"Install","Not Selected"))</f>
        <v>Not Selected</v>
      </c>
      <c r="H34" s="566" t="s">
        <v>259</v>
      </c>
      <c r="I34" s="567"/>
      <c r="J34" s="573">
        <v>0.75</v>
      </c>
      <c r="K34" s="573"/>
      <c r="M34" s="571" t="s">
        <v>398</v>
      </c>
      <c r="N34" s="571"/>
      <c r="O34" s="571"/>
      <c r="P34" s="502">
        <v>0.1</v>
      </c>
    </row>
    <row r="35" spans="2:16" ht="30" customHeight="1" x14ac:dyDescent="0.25">
      <c r="B35" s="13" t="s">
        <v>315</v>
      </c>
      <c r="C35" s="27"/>
      <c r="D35" s="632"/>
      <c r="E35" s="633"/>
      <c r="F35" s="383" t="str">
        <f>IF('R2U_Ref'!J13=TRUE,"Improve","Not Selected")</f>
        <v>Not Selected</v>
      </c>
      <c r="H35" s="566" t="s">
        <v>260</v>
      </c>
      <c r="I35" s="567"/>
      <c r="J35" s="574">
        <v>0.25</v>
      </c>
      <c r="K35" s="574"/>
      <c r="M35" s="571" t="s">
        <v>401</v>
      </c>
      <c r="N35" s="571"/>
      <c r="O35" s="571"/>
      <c r="P35" s="416">
        <v>12</v>
      </c>
    </row>
    <row r="36" spans="2:16" ht="30" customHeight="1" x14ac:dyDescent="0.25">
      <c r="B36" s="13" t="s">
        <v>396</v>
      </c>
      <c r="C36" s="20"/>
      <c r="D36" s="632"/>
      <c r="E36" s="633"/>
      <c r="F36" s="383" t="str">
        <f>IF('R2U_Ref'!J15=TRUE,"Add","Not Selected")</f>
        <v>Not Selected</v>
      </c>
    </row>
    <row r="37" spans="2:16" ht="30" customHeight="1" x14ac:dyDescent="0.25"/>
    <row r="38" spans="2:16" ht="15" customHeight="1" x14ac:dyDescent="0.25">
      <c r="B38" s="565" t="s">
        <v>727</v>
      </c>
      <c r="C38" s="565"/>
    </row>
    <row r="39" spans="2:16" ht="30" customHeight="1" x14ac:dyDescent="0.25">
      <c r="B39" s="13"/>
      <c r="C39" s="528">
        <f>'R2U_Calculations'!H28</f>
        <v>0</v>
      </c>
    </row>
    <row r="40" spans="2:16" ht="30" customHeight="1" x14ac:dyDescent="0.25"/>
    <row r="41" spans="2:16" ht="30" customHeight="1" x14ac:dyDescent="0.25"/>
    <row r="42" spans="2:16" ht="30" customHeight="1" x14ac:dyDescent="0.25"/>
    <row r="43" spans="2:16" ht="30" customHeight="1" x14ac:dyDescent="0.25"/>
    <row r="44" spans="2:16" ht="30" customHeight="1" x14ac:dyDescent="0.25"/>
    <row r="45" spans="2:16" ht="30" customHeight="1" x14ac:dyDescent="0.25"/>
    <row r="48" spans="2:16" ht="30" customHeight="1" x14ac:dyDescent="0.25"/>
    <row r="49" spans="2:3" ht="30" customHeight="1" x14ac:dyDescent="0.25"/>
    <row r="50" spans="2:3" ht="30" customHeight="1" x14ac:dyDescent="0.25"/>
    <row r="51" spans="2:3" ht="30" customHeight="1" x14ac:dyDescent="0.25"/>
    <row r="59" spans="2:3" x14ac:dyDescent="0.25">
      <c r="B59" t="s">
        <v>333</v>
      </c>
      <c r="C59">
        <f>'R2U_Ref'!C7</f>
        <v>1</v>
      </c>
    </row>
    <row r="60" spans="2:3" x14ac:dyDescent="0.25">
      <c r="B60" t="s">
        <v>319</v>
      </c>
      <c r="C60">
        <f>'R2U_Ref'!C19</f>
        <v>1</v>
      </c>
    </row>
    <row r="61" spans="2:3" x14ac:dyDescent="0.25">
      <c r="B61" t="s">
        <v>374</v>
      </c>
      <c r="C61" t="b">
        <f>'R2U_Ref'!J13</f>
        <v>0</v>
      </c>
    </row>
    <row r="62" spans="2:3" x14ac:dyDescent="0.25">
      <c r="B62" t="s">
        <v>393</v>
      </c>
      <c r="C62">
        <v>1</v>
      </c>
    </row>
    <row r="63" spans="2:3" x14ac:dyDescent="0.25">
      <c r="C63" t="s">
        <v>186</v>
      </c>
    </row>
    <row r="64" spans="2:3" x14ac:dyDescent="0.25">
      <c r="C64" t="s">
        <v>187</v>
      </c>
    </row>
    <row r="65" spans="2:3" x14ac:dyDescent="0.25">
      <c r="B65" t="s">
        <v>400</v>
      </c>
      <c r="C65" t="b">
        <f>'R2U_Ref'!J15</f>
        <v>0</v>
      </c>
    </row>
    <row r="66" spans="2:3" x14ac:dyDescent="0.25">
      <c r="B66" t="s">
        <v>414</v>
      </c>
      <c r="C66" t="str">
        <f>'R2U_Ref'!G92</f>
        <v>Unpaved</v>
      </c>
    </row>
    <row r="67" spans="2:3" x14ac:dyDescent="0.25">
      <c r="B67" t="s">
        <v>728</v>
      </c>
      <c r="C67" t="b">
        <v>0</v>
      </c>
    </row>
  </sheetData>
  <mergeCells count="90">
    <mergeCell ref="D36:E36"/>
    <mergeCell ref="B27:B28"/>
    <mergeCell ref="D33:E33"/>
    <mergeCell ref="D34:E34"/>
    <mergeCell ref="D35:E35"/>
    <mergeCell ref="D29:E29"/>
    <mergeCell ref="D30:E30"/>
    <mergeCell ref="D31:E31"/>
    <mergeCell ref="D32:E32"/>
    <mergeCell ref="D27:E28"/>
    <mergeCell ref="N8:O8"/>
    <mergeCell ref="N3:O3"/>
    <mergeCell ref="N4:O4"/>
    <mergeCell ref="N5:O5"/>
    <mergeCell ref="N6:O6"/>
    <mergeCell ref="N7:O7"/>
    <mergeCell ref="E14:G14"/>
    <mergeCell ref="O17:O18"/>
    <mergeCell ref="E17:F17"/>
    <mergeCell ref="I17:I18"/>
    <mergeCell ref="N17:N18"/>
    <mergeCell ref="M14:P14"/>
    <mergeCell ref="M15:P15"/>
    <mergeCell ref="M16:P16"/>
    <mergeCell ref="P17:P18"/>
    <mergeCell ref="L17:L18"/>
    <mergeCell ref="M17:M18"/>
    <mergeCell ref="B22:C22"/>
    <mergeCell ref="B23:C23"/>
    <mergeCell ref="E10:F10"/>
    <mergeCell ref="G10:H10"/>
    <mergeCell ref="J10:K10"/>
    <mergeCell ref="J17:J18"/>
    <mergeCell ref="K17:K18"/>
    <mergeCell ref="B10:C10"/>
    <mergeCell ref="B14:C14"/>
    <mergeCell ref="E12:G12"/>
    <mergeCell ref="I13:P13"/>
    <mergeCell ref="I14:L14"/>
    <mergeCell ref="I15:L15"/>
    <mergeCell ref="I16:L16"/>
    <mergeCell ref="E23:F23"/>
    <mergeCell ref="E13:G13"/>
    <mergeCell ref="B11:C11"/>
    <mergeCell ref="I3:J4"/>
    <mergeCell ref="G5:H5"/>
    <mergeCell ref="G8:H8"/>
    <mergeCell ref="G3:H4"/>
    <mergeCell ref="I5:J5"/>
    <mergeCell ref="J8:K8"/>
    <mergeCell ref="J7:K7"/>
    <mergeCell ref="G7:H7"/>
    <mergeCell ref="J9:K9"/>
    <mergeCell ref="B9:C9"/>
    <mergeCell ref="E9:F9"/>
    <mergeCell ref="G9:H9"/>
    <mergeCell ref="K3:L4"/>
    <mergeCell ref="K5:L5"/>
    <mergeCell ref="B1:H1"/>
    <mergeCell ref="C27:C28"/>
    <mergeCell ref="F27:F28"/>
    <mergeCell ref="B13:C13"/>
    <mergeCell ref="E18:F18"/>
    <mergeCell ref="E19:F19"/>
    <mergeCell ref="E20:F20"/>
    <mergeCell ref="E16:G16"/>
    <mergeCell ref="B3:C3"/>
    <mergeCell ref="E3:F4"/>
    <mergeCell ref="E5:F5"/>
    <mergeCell ref="E8:F8"/>
    <mergeCell ref="E7:F7"/>
    <mergeCell ref="E25:F25"/>
    <mergeCell ref="E24:F24"/>
    <mergeCell ref="E22:G22"/>
    <mergeCell ref="B38:C38"/>
    <mergeCell ref="H34:I34"/>
    <mergeCell ref="H35:I35"/>
    <mergeCell ref="H31:K31"/>
    <mergeCell ref="M30:P30"/>
    <mergeCell ref="M31:O31"/>
    <mergeCell ref="M32:O32"/>
    <mergeCell ref="M33:O33"/>
    <mergeCell ref="M34:O34"/>
    <mergeCell ref="M35:O35"/>
    <mergeCell ref="J33:K33"/>
    <mergeCell ref="J34:K34"/>
    <mergeCell ref="H32:I32"/>
    <mergeCell ref="H33:I33"/>
    <mergeCell ref="J35:K35"/>
    <mergeCell ref="J32:K32"/>
  </mergeCells>
  <conditionalFormatting sqref="P22">
    <cfRule type="expression" dxfId="756" priority="92">
      <formula>$O$22="No"</formula>
    </cfRule>
  </conditionalFormatting>
  <conditionalFormatting sqref="P21">
    <cfRule type="expression" dxfId="755" priority="90">
      <formula>$O$21="No"</formula>
    </cfRule>
  </conditionalFormatting>
  <conditionalFormatting sqref="P20">
    <cfRule type="expression" dxfId="754" priority="91">
      <formula>$O$20="No"</formula>
    </cfRule>
  </conditionalFormatting>
  <conditionalFormatting sqref="P19">
    <cfRule type="expression" dxfId="753" priority="84">
      <formula>$O$19="No"</formula>
    </cfRule>
  </conditionalFormatting>
  <conditionalFormatting sqref="P23">
    <cfRule type="expression" dxfId="752" priority="94">
      <formula>$O$23="No"</formula>
    </cfRule>
  </conditionalFormatting>
  <conditionalFormatting sqref="P24">
    <cfRule type="expression" dxfId="751" priority="103">
      <formula>$O$24="No"</formula>
    </cfRule>
  </conditionalFormatting>
  <conditionalFormatting sqref="P25">
    <cfRule type="expression" dxfId="750" priority="101">
      <formula>$O$25="No"</formula>
    </cfRule>
  </conditionalFormatting>
  <conditionalFormatting sqref="P26">
    <cfRule type="expression" dxfId="749" priority="99">
      <formula>$O$26="No"</formula>
    </cfRule>
  </conditionalFormatting>
  <conditionalFormatting sqref="P27">
    <cfRule type="expression" dxfId="748" priority="97">
      <formula>$O$27="No"</formula>
    </cfRule>
  </conditionalFormatting>
  <conditionalFormatting sqref="P28">
    <cfRule type="expression" dxfId="747" priority="95">
      <formula>$O$28="No"</formula>
    </cfRule>
  </conditionalFormatting>
  <conditionalFormatting sqref="I22:P22">
    <cfRule type="expression" dxfId="746" priority="69">
      <formula>AND($M$14=3,$C$59=2)</formula>
    </cfRule>
    <cfRule type="expression" dxfId="745" priority="83">
      <formula>$M$14&lt;4</formula>
    </cfRule>
  </conditionalFormatting>
  <conditionalFormatting sqref="I21:P21">
    <cfRule type="expression" dxfId="744" priority="67">
      <formula>AND($M$14=2,$C$59=2)</formula>
    </cfRule>
    <cfRule type="expression" dxfId="743" priority="68">
      <formula>$M$14&lt;3</formula>
    </cfRule>
  </conditionalFormatting>
  <conditionalFormatting sqref="I20:P20">
    <cfRule type="expression" dxfId="742" priority="81">
      <formula>AND($M$14=1,$C$59=2)</formula>
    </cfRule>
    <cfRule type="expression" dxfId="741" priority="82">
      <formula>$M$14&lt;2</formula>
    </cfRule>
  </conditionalFormatting>
  <conditionalFormatting sqref="I23:P23">
    <cfRule type="expression" dxfId="740" priority="80">
      <formula>AND($M$14=4,$C$59=2)</formula>
    </cfRule>
    <cfRule type="expression" dxfId="739" priority="85">
      <formula>$M$14&lt;5</formula>
    </cfRule>
  </conditionalFormatting>
  <conditionalFormatting sqref="I24:P24">
    <cfRule type="expression" dxfId="738" priority="78">
      <formula>AND($M$14=5,$C$59=2)</formula>
    </cfRule>
    <cfRule type="expression" dxfId="737" priority="79">
      <formula>$M$14&lt;6</formula>
    </cfRule>
  </conditionalFormatting>
  <conditionalFormatting sqref="I25:P25">
    <cfRule type="expression" dxfId="736" priority="76">
      <formula>AND($M$14=6,$C$59=2)</formula>
    </cfRule>
    <cfRule type="expression" dxfId="735" priority="77">
      <formula>$M$14&lt;7</formula>
    </cfRule>
  </conditionalFormatting>
  <conditionalFormatting sqref="I26:P26">
    <cfRule type="expression" dxfId="734" priority="74">
      <formula>AND($M$14=7,$C$59=2)</formula>
    </cfRule>
    <cfRule type="expression" dxfId="733" priority="75">
      <formula>$M$14&lt;8</formula>
    </cfRule>
  </conditionalFormatting>
  <conditionalFormatting sqref="I27:P27">
    <cfRule type="expression" dxfId="732" priority="72">
      <formula>AND($M$14=8,$C$59=2)</formula>
    </cfRule>
    <cfRule type="expression" dxfId="731" priority="73">
      <formula>$M$14&lt;9</formula>
    </cfRule>
  </conditionalFormatting>
  <conditionalFormatting sqref="I28:P28">
    <cfRule type="expression" dxfId="730" priority="70">
      <formula>AND($M$14=9,$C$59=2)</formula>
    </cfRule>
    <cfRule type="expression" dxfId="729" priority="71">
      <formula>$M$14&lt;10</formula>
    </cfRule>
  </conditionalFormatting>
  <conditionalFormatting sqref="I13:P28">
    <cfRule type="expression" dxfId="728" priority="106">
      <formula>$C$59=1</formula>
    </cfRule>
  </conditionalFormatting>
  <conditionalFormatting sqref="P17:P28">
    <cfRule type="expression" dxfId="727" priority="54">
      <formula>$C$59=1</formula>
    </cfRule>
  </conditionalFormatting>
  <conditionalFormatting sqref="P17:P18">
    <cfRule type="expression" dxfId="726" priority="64">
      <formula>$C$59=2</formula>
    </cfRule>
  </conditionalFormatting>
  <conditionalFormatting sqref="E22:G25 G26">
    <cfRule type="expression" dxfId="725" priority="53">
      <formula>$C$60=2</formula>
    </cfRule>
  </conditionalFormatting>
  <conditionalFormatting sqref="E16:G20">
    <cfRule type="expression" dxfId="724" priority="52">
      <formula>$C$59=2</formula>
    </cfRule>
  </conditionalFormatting>
  <conditionalFormatting sqref="H31:K35">
    <cfRule type="expression" dxfId="723" priority="17">
      <formula>$C$61=FALSE</formula>
    </cfRule>
  </conditionalFormatting>
  <conditionalFormatting sqref="M30:P35">
    <cfRule type="expression" dxfId="722" priority="16">
      <formula>$C$65=FALSE</formula>
    </cfRule>
  </conditionalFormatting>
  <conditionalFormatting sqref="F29">
    <cfRule type="expression" dxfId="721" priority="13">
      <formula>AND($F$29&gt;9,$F$29&lt;13)</formula>
    </cfRule>
    <cfRule type="expression" dxfId="720" priority="14">
      <formula>$F$29="Retain Lane Width"</formula>
    </cfRule>
    <cfRule type="expression" dxfId="719" priority="15">
      <formula>$F$29="SELECT VALUE"</formula>
    </cfRule>
  </conditionalFormatting>
  <conditionalFormatting sqref="F30">
    <cfRule type="expression" dxfId="718" priority="10">
      <formula>$F$30="Retain Shoulder Width"</formula>
    </cfRule>
    <cfRule type="expression" dxfId="717" priority="11">
      <formula>$F$30="SELECT VALUE"</formula>
    </cfRule>
    <cfRule type="expression" dxfId="716" priority="12">
      <formula>AND($F$30&gt;0,$F$30&lt;10)</formula>
    </cfRule>
  </conditionalFormatting>
  <conditionalFormatting sqref="F32">
    <cfRule type="expression" dxfId="715" priority="8">
      <formula>$F$32="SELECT VALUE"</formula>
    </cfRule>
    <cfRule type="expression" dxfId="714" priority="9">
      <formula>$F$32="Retain Roadside Slope"</formula>
    </cfRule>
  </conditionalFormatting>
  <conditionalFormatting sqref="F33">
    <cfRule type="expression" dxfId="713" priority="7">
      <formula>$F$33="Install"</formula>
    </cfRule>
  </conditionalFormatting>
  <conditionalFormatting sqref="F34">
    <cfRule type="expression" dxfId="712" priority="6">
      <formula>$F$34="Install"</formula>
    </cfRule>
  </conditionalFormatting>
  <conditionalFormatting sqref="F35">
    <cfRule type="expression" dxfId="711" priority="5">
      <formula>$F$35="Improve"</formula>
    </cfRule>
  </conditionalFormatting>
  <conditionalFormatting sqref="F36">
    <cfRule type="expression" dxfId="710" priority="4">
      <formula>$F$36="Add"</formula>
    </cfRule>
  </conditionalFormatting>
  <conditionalFormatting sqref="F31">
    <cfRule type="expression" dxfId="709" priority="1">
      <formula>$C$66="Paved"</formula>
    </cfRule>
    <cfRule type="expression" dxfId="708" priority="2">
      <formula>AND($C$66="Unpaved",$F$31="Paved Shoulder")</formula>
    </cfRule>
    <cfRule type="expression" dxfId="707" priority="3">
      <formula>AND($C$66="Unpaved",$F$31="Unpaved Shoulder")</formula>
    </cfRule>
  </conditionalFormatting>
  <conditionalFormatting sqref="I19:P19">
    <cfRule type="expression" dxfId="706" priority="63">
      <formula>$M$14=0</formula>
    </cfRule>
    <cfRule type="expression" dxfId="705" priority="66">
      <formula>$M$14&lt;1</formula>
    </cfRule>
  </conditionalFormatting>
  <dataValidations count="15">
    <dataValidation type="whole" allowBlank="1" showInputMessage="1" showErrorMessage="1" prompt="Enter value 0 to 10" sqref="M14:P14" xr:uid="{00000000-0002-0000-0100-000000000000}">
      <formula1>0</formula1>
      <formula2>10</formula2>
    </dataValidation>
    <dataValidation type="list" allowBlank="1" showInputMessage="1" showErrorMessage="1" sqref="M19:M28 O19:O28" xr:uid="{00000000-0002-0000-0100-000001000000}">
      <formula1>$C$63:$C$64</formula1>
    </dataValidation>
    <dataValidation allowBlank="1" showInputMessage="1" showErrorMessage="1" prompt="Length of spiral curve on one side of horizontal curve" sqref="K17:K18" xr:uid="{00000000-0002-0000-0100-000002000000}"/>
    <dataValidation allowBlank="1" showInputMessage="1" showErrorMessage="1" prompt="This length is the sum of both directions of travel where delineator posts are present" sqref="J35:K35" xr:uid="{00000000-0002-0000-0100-000003000000}"/>
    <dataValidation type="decimal" allowBlank="1" showInputMessage="1" showErrorMessage="1" sqref="P19" xr:uid="{00000000-0002-0000-0100-000004000000}">
      <formula1>0</formula1>
      <formula2>M15</formula2>
    </dataValidation>
    <dataValidation type="decimal" allowBlank="1" showInputMessage="1" showErrorMessage="1" sqref="P20" xr:uid="{00000000-0002-0000-0100-000005000000}">
      <formula1>0</formula1>
      <formula2>M15</formula2>
    </dataValidation>
    <dataValidation type="decimal" allowBlank="1" showInputMessage="1" showErrorMessage="1" sqref="P21" xr:uid="{00000000-0002-0000-0100-000006000000}">
      <formula1>0</formula1>
      <formula2>M15</formula2>
    </dataValidation>
    <dataValidation type="decimal" allowBlank="1" showInputMessage="1" showErrorMessage="1" sqref="P22" xr:uid="{00000000-0002-0000-0100-000007000000}">
      <formula1>0</formula1>
      <formula2>M15</formula2>
    </dataValidation>
    <dataValidation type="decimal" allowBlank="1" showInputMessage="1" showErrorMessage="1" sqref="P23" xr:uid="{00000000-0002-0000-0100-000008000000}">
      <formula1>0</formula1>
      <formula2>M15</formula2>
    </dataValidation>
    <dataValidation type="decimal" allowBlank="1" showInputMessage="1" showErrorMessage="1" sqref="P24" xr:uid="{00000000-0002-0000-0100-000009000000}">
      <formula1>0</formula1>
      <formula2>M15</formula2>
    </dataValidation>
    <dataValidation type="decimal" allowBlank="1" showInputMessage="1" showErrorMessage="1" sqref="P25" xr:uid="{00000000-0002-0000-0100-00000A000000}">
      <formula1>0</formula1>
      <formula2>M15</formula2>
    </dataValidation>
    <dataValidation type="decimal" allowBlank="1" showInputMessage="1" showErrorMessage="1" sqref="P26" xr:uid="{00000000-0002-0000-0100-00000B000000}">
      <formula1>0</formula1>
      <formula2>M15</formula2>
    </dataValidation>
    <dataValidation type="decimal" allowBlank="1" showInputMessage="1" showErrorMessage="1" sqref="P27" xr:uid="{00000000-0002-0000-0100-00000C000000}">
      <formula1>0</formula1>
      <formula2>M15</formula2>
    </dataValidation>
    <dataValidation type="decimal" allowBlank="1" showInputMessage="1" showErrorMessage="1" sqref="P28" xr:uid="{00000000-0002-0000-0100-00000D000000}">
      <formula1>0</formula1>
      <formula2>M15</formula2>
    </dataValidation>
    <dataValidation type="decimal" allowBlank="1" showInputMessage="1" showErrorMessage="1" sqref="J32:K32 J33:K33 J34:K34" xr:uid="{00000000-0002-0000-0100-00000E000000}">
      <formula1>0</formula1>
      <formula2>1</formula2>
    </dataValidation>
  </dataValidations>
  <pageMargins left="0.7" right="0.7" top="0.75" bottom="0.75" header="0.3" footer="0.3"/>
  <pageSetup scale="5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2</xdr:col>
                    <xdr:colOff>47625</xdr:colOff>
                    <xdr:row>5</xdr:row>
                    <xdr:rowOff>28575</xdr:rowOff>
                  </from>
                  <to>
                    <xdr:col>2</xdr:col>
                    <xdr:colOff>1209675</xdr:colOff>
                    <xdr:row>5</xdr:row>
                    <xdr:rowOff>238125</xdr:rowOff>
                  </to>
                </anchor>
              </controlPr>
            </control>
          </mc:Choice>
        </mc:AlternateContent>
        <mc:AlternateContent xmlns:mc="http://schemas.openxmlformats.org/markup-compatibility/2006">
          <mc:Choice Requires="x14">
            <control shapeId="1028" r:id="rId5" name="Drop Down 4">
              <controlPr defaultSize="0" autoLine="0" autoPict="0">
                <anchor moveWithCells="1">
                  <from>
                    <xdr:col>2</xdr:col>
                    <xdr:colOff>38100</xdr:colOff>
                    <xdr:row>6</xdr:row>
                    <xdr:rowOff>9525</xdr:rowOff>
                  </from>
                  <to>
                    <xdr:col>2</xdr:col>
                    <xdr:colOff>1200150</xdr:colOff>
                    <xdr:row>6</xdr:row>
                    <xdr:rowOff>228600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485775</xdr:colOff>
                    <xdr:row>28</xdr:row>
                    <xdr:rowOff>38100</xdr:rowOff>
                  </from>
                  <to>
                    <xdr:col>2</xdr:col>
                    <xdr:colOff>790575</xdr:colOff>
                    <xdr:row>28</xdr:row>
                    <xdr:rowOff>257175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485775</xdr:colOff>
                    <xdr:row>29</xdr:row>
                    <xdr:rowOff>38100</xdr:rowOff>
                  </from>
                  <to>
                    <xdr:col>2</xdr:col>
                    <xdr:colOff>790575</xdr:colOff>
                    <xdr:row>29</xdr:row>
                    <xdr:rowOff>257175</xdr:rowOff>
                  </to>
                </anchor>
              </controlPr>
            </control>
          </mc:Choice>
        </mc:AlternateContent>
        <mc:AlternateContent xmlns:mc="http://schemas.openxmlformats.org/markup-compatibility/2006">
          <mc:Choice Requires="x14">
            <control shapeId="1043" r:id="rId8" name="Option Button 19">
              <controlPr defaultSize="0" autoFill="0" autoLine="0" autoPict="0">
                <anchor moveWithCells="1">
                  <from>
                    <xdr:col>1</xdr:col>
                    <xdr:colOff>1866900</xdr:colOff>
                    <xdr:row>9</xdr:row>
                    <xdr:rowOff>9525</xdr:rowOff>
                  </from>
                  <to>
                    <xdr:col>2</xdr:col>
                    <xdr:colOff>133350</xdr:colOff>
                    <xdr:row>9</xdr:row>
                    <xdr:rowOff>228600</xdr:rowOff>
                  </to>
                </anchor>
              </controlPr>
            </control>
          </mc:Choice>
        </mc:AlternateContent>
        <mc:AlternateContent xmlns:mc="http://schemas.openxmlformats.org/markup-compatibility/2006">
          <mc:Choice Requires="x14">
            <control shapeId="1044" r:id="rId9" name="Option Button 20">
              <controlPr defaultSize="0" autoFill="0" autoLine="0" autoPict="0">
                <anchor moveWithCells="1">
                  <from>
                    <xdr:col>1</xdr:col>
                    <xdr:colOff>1866900</xdr:colOff>
                    <xdr:row>10</xdr:row>
                    <xdr:rowOff>9525</xdr:rowOff>
                  </from>
                  <to>
                    <xdr:col>2</xdr:col>
                    <xdr:colOff>142875</xdr:colOff>
                    <xdr:row>10</xdr:row>
                    <xdr:rowOff>228600</xdr:rowOff>
                  </to>
                </anchor>
              </controlPr>
            </control>
          </mc:Choice>
        </mc:AlternateContent>
        <mc:AlternateContent xmlns:mc="http://schemas.openxmlformats.org/markup-compatibility/2006">
          <mc:Choice Requires="x14">
            <control shapeId="1052" r:id="rId10" name="Group Box 28">
              <controlPr defaultSize="0" autoFill="0" autoPict="0">
                <anchor moveWithCells="1">
                  <from>
                    <xdr:col>1</xdr:col>
                    <xdr:colOff>19050</xdr:colOff>
                    <xdr:row>9</xdr:row>
                    <xdr:rowOff>0</xdr:rowOff>
                  </from>
                  <to>
                    <xdr:col>2</xdr:col>
                    <xdr:colOff>1228725</xdr:colOff>
                    <xdr:row>10</xdr:row>
                    <xdr:rowOff>238125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2</xdr:col>
                    <xdr:colOff>485775</xdr:colOff>
                    <xdr:row>32</xdr:row>
                    <xdr:rowOff>19050</xdr:rowOff>
                  </from>
                  <to>
                    <xdr:col>2</xdr:col>
                    <xdr:colOff>762000</xdr:colOff>
                    <xdr:row>32</xdr:row>
                    <xdr:rowOff>247650</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2</xdr:col>
                    <xdr:colOff>485775</xdr:colOff>
                    <xdr:row>33</xdr:row>
                    <xdr:rowOff>28575</xdr:rowOff>
                  </from>
                  <to>
                    <xdr:col>2</xdr:col>
                    <xdr:colOff>695325</xdr:colOff>
                    <xdr:row>33</xdr:row>
                    <xdr:rowOff>247650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2</xdr:col>
                    <xdr:colOff>476250</xdr:colOff>
                    <xdr:row>34</xdr:row>
                    <xdr:rowOff>38100</xdr:rowOff>
                  </from>
                  <to>
                    <xdr:col>2</xdr:col>
                    <xdr:colOff>676275</xdr:colOff>
                    <xdr:row>34</xdr:row>
                    <xdr:rowOff>209550</xdr:rowOff>
                  </to>
                </anchor>
              </controlPr>
            </control>
          </mc:Choice>
        </mc:AlternateContent>
        <mc:AlternateContent xmlns:mc="http://schemas.openxmlformats.org/markup-compatibility/2006">
          <mc:Choice Requires="x14">
            <control shapeId="1066" r:id="rId14" name="Drop Down 42">
              <controlPr defaultSize="0" autoLine="0" autoPict="0">
                <anchor moveWithCells="1">
                  <from>
                    <xdr:col>2</xdr:col>
                    <xdr:colOff>38100</xdr:colOff>
                    <xdr:row>14</xdr:row>
                    <xdr:rowOff>28575</xdr:rowOff>
                  </from>
                  <to>
                    <xdr:col>2</xdr:col>
                    <xdr:colOff>1209675</xdr:colOff>
                    <xdr:row>14</xdr:row>
                    <xdr:rowOff>228600</xdr:rowOff>
                  </to>
                </anchor>
              </controlPr>
            </control>
          </mc:Choice>
        </mc:AlternateContent>
        <mc:AlternateContent xmlns:mc="http://schemas.openxmlformats.org/markup-compatibility/2006">
          <mc:Choice Requires="x14">
            <control shapeId="1067" r:id="rId15" name="Drop Down 43">
              <controlPr defaultSize="0" autoLine="0" autoPict="0">
                <anchor moveWithCells="1">
                  <from>
                    <xdr:col>2</xdr:col>
                    <xdr:colOff>38100</xdr:colOff>
                    <xdr:row>15</xdr:row>
                    <xdr:rowOff>38100</xdr:rowOff>
                  </from>
                  <to>
                    <xdr:col>2</xdr:col>
                    <xdr:colOff>1209675</xdr:colOff>
                    <xdr:row>15</xdr:row>
                    <xdr:rowOff>238125</xdr:rowOff>
                  </to>
                </anchor>
              </controlPr>
            </control>
          </mc:Choice>
        </mc:AlternateContent>
        <mc:AlternateContent xmlns:mc="http://schemas.openxmlformats.org/markup-compatibility/2006">
          <mc:Choice Requires="x14">
            <control shapeId="1068" r:id="rId16" name="Drop Down 44">
              <controlPr defaultSize="0" autoLine="0" autoPict="0">
                <anchor moveWithCells="1">
                  <from>
                    <xdr:col>2</xdr:col>
                    <xdr:colOff>28575</xdr:colOff>
                    <xdr:row>16</xdr:row>
                    <xdr:rowOff>28575</xdr:rowOff>
                  </from>
                  <to>
                    <xdr:col>2</xdr:col>
                    <xdr:colOff>1200150</xdr:colOff>
                    <xdr:row>16</xdr:row>
                    <xdr:rowOff>228600</xdr:rowOff>
                  </to>
                </anchor>
              </controlPr>
            </control>
          </mc:Choice>
        </mc:AlternateContent>
        <mc:AlternateContent xmlns:mc="http://schemas.openxmlformats.org/markup-compatibility/2006">
          <mc:Choice Requires="x14">
            <control shapeId="1069" r:id="rId17" name="Drop Down 45">
              <controlPr defaultSize="0" autoLine="0" autoPict="0">
                <anchor moveWithCells="1">
                  <from>
                    <xdr:col>2</xdr:col>
                    <xdr:colOff>38100</xdr:colOff>
                    <xdr:row>17</xdr:row>
                    <xdr:rowOff>28575</xdr:rowOff>
                  </from>
                  <to>
                    <xdr:col>2</xdr:col>
                    <xdr:colOff>1209675</xdr:colOff>
                    <xdr:row>17</xdr:row>
                    <xdr:rowOff>228600</xdr:rowOff>
                  </to>
                </anchor>
              </controlPr>
            </control>
          </mc:Choice>
        </mc:AlternateContent>
        <mc:AlternateContent xmlns:mc="http://schemas.openxmlformats.org/markup-compatibility/2006">
          <mc:Choice Requires="x14">
            <control shapeId="1070" r:id="rId18" name="Drop Down 46">
              <controlPr defaultSize="0" autoLine="0" autoPict="0">
                <anchor moveWithCells="1">
                  <from>
                    <xdr:col>2</xdr:col>
                    <xdr:colOff>38100</xdr:colOff>
                    <xdr:row>18</xdr:row>
                    <xdr:rowOff>28575</xdr:rowOff>
                  </from>
                  <to>
                    <xdr:col>2</xdr:col>
                    <xdr:colOff>1209675</xdr:colOff>
                    <xdr:row>18</xdr:row>
                    <xdr:rowOff>228600</xdr:rowOff>
                  </to>
                </anchor>
              </controlPr>
            </control>
          </mc:Choice>
        </mc:AlternateContent>
        <mc:AlternateContent xmlns:mc="http://schemas.openxmlformats.org/markup-compatibility/2006">
          <mc:Choice Requires="x14">
            <control shapeId="1071" r:id="rId19" name="Drop Down 47">
              <controlPr defaultSize="0" autoLine="0" autoPict="0">
                <anchor moveWithCells="1">
                  <from>
                    <xdr:col>2</xdr:col>
                    <xdr:colOff>38100</xdr:colOff>
                    <xdr:row>19</xdr:row>
                    <xdr:rowOff>38100</xdr:rowOff>
                  </from>
                  <to>
                    <xdr:col>2</xdr:col>
                    <xdr:colOff>1209675</xdr:colOff>
                    <xdr:row>19</xdr:row>
                    <xdr:rowOff>238125</xdr:rowOff>
                  </to>
                </anchor>
              </controlPr>
            </control>
          </mc:Choice>
        </mc:AlternateContent>
        <mc:AlternateContent xmlns:mc="http://schemas.openxmlformats.org/markup-compatibility/2006">
          <mc:Choice Requires="x14">
            <control shapeId="1079" r:id="rId20" name="Drop Down 55">
              <controlPr defaultSize="0" autoLine="0" autoPict="0">
                <anchor moveWithCells="1">
                  <from>
                    <xdr:col>3</xdr:col>
                    <xdr:colOff>590550</xdr:colOff>
                    <xdr:row>28</xdr:row>
                    <xdr:rowOff>47625</xdr:rowOff>
                  </from>
                  <to>
                    <xdr:col>4</xdr:col>
                    <xdr:colOff>342900</xdr:colOff>
                    <xdr:row>28</xdr:row>
                    <xdr:rowOff>247650</xdr:rowOff>
                  </to>
                </anchor>
              </controlPr>
            </control>
          </mc:Choice>
        </mc:AlternateContent>
        <mc:AlternateContent xmlns:mc="http://schemas.openxmlformats.org/markup-compatibility/2006">
          <mc:Choice Requires="x14">
            <control shapeId="1083" r:id="rId21" name="Drop Down 59">
              <controlPr defaultSize="0" autoLine="0" autoPict="0">
                <anchor moveWithCells="1">
                  <from>
                    <xdr:col>3</xdr:col>
                    <xdr:colOff>590550</xdr:colOff>
                    <xdr:row>29</xdr:row>
                    <xdr:rowOff>47625</xdr:rowOff>
                  </from>
                  <to>
                    <xdr:col>4</xdr:col>
                    <xdr:colOff>342900</xdr:colOff>
                    <xdr:row>29</xdr:row>
                    <xdr:rowOff>247650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2</xdr:col>
                    <xdr:colOff>485775</xdr:colOff>
                    <xdr:row>30</xdr:row>
                    <xdr:rowOff>57150</xdr:rowOff>
                  </from>
                  <to>
                    <xdr:col>2</xdr:col>
                    <xdr:colOff>790575</xdr:colOff>
                    <xdr:row>30</xdr:row>
                    <xdr:rowOff>285750</xdr:rowOff>
                  </to>
                </anchor>
              </controlPr>
            </control>
          </mc:Choice>
        </mc:AlternateContent>
        <mc:AlternateContent xmlns:mc="http://schemas.openxmlformats.org/markup-compatibility/2006">
          <mc:Choice Requires="x14">
            <control shapeId="1088" r:id="rId23" name="Drop Down 64">
              <controlPr defaultSize="0" autoLine="0" autoPict="0">
                <anchor moveWithCells="1">
                  <from>
                    <xdr:col>3</xdr:col>
                    <xdr:colOff>590550</xdr:colOff>
                    <xdr:row>30</xdr:row>
                    <xdr:rowOff>57150</xdr:rowOff>
                  </from>
                  <to>
                    <xdr:col>4</xdr:col>
                    <xdr:colOff>352425</xdr:colOff>
                    <xdr:row>30</xdr:row>
                    <xdr:rowOff>257175</xdr:rowOff>
                  </to>
                </anchor>
              </controlPr>
            </control>
          </mc:Choice>
        </mc:AlternateContent>
        <mc:AlternateContent xmlns:mc="http://schemas.openxmlformats.org/markup-compatibility/2006">
          <mc:Choice Requires="x14">
            <control shapeId="1089" r:id="rId24" name="Check Box 65">
              <controlPr defaultSize="0" autoFill="0" autoLine="0" autoPict="0">
                <anchor moveWithCells="1">
                  <from>
                    <xdr:col>2</xdr:col>
                    <xdr:colOff>476250</xdr:colOff>
                    <xdr:row>31</xdr:row>
                    <xdr:rowOff>47625</xdr:rowOff>
                  </from>
                  <to>
                    <xdr:col>2</xdr:col>
                    <xdr:colOff>676275</xdr:colOff>
                    <xdr:row>31</xdr:row>
                    <xdr:rowOff>228600</xdr:rowOff>
                  </to>
                </anchor>
              </controlPr>
            </control>
          </mc:Choice>
        </mc:AlternateContent>
        <mc:AlternateContent xmlns:mc="http://schemas.openxmlformats.org/markup-compatibility/2006">
          <mc:Choice Requires="x14">
            <control shapeId="1093" r:id="rId25" name="Drop Down 69">
              <controlPr defaultSize="0" autoLine="0" autoPict="0">
                <anchor moveWithCells="1">
                  <from>
                    <xdr:col>3</xdr:col>
                    <xdr:colOff>590550</xdr:colOff>
                    <xdr:row>31</xdr:row>
                    <xdr:rowOff>57150</xdr:rowOff>
                  </from>
                  <to>
                    <xdr:col>4</xdr:col>
                    <xdr:colOff>352425</xdr:colOff>
                    <xdr:row>31</xdr:row>
                    <xdr:rowOff>257175</xdr:rowOff>
                  </to>
                </anchor>
              </controlPr>
            </control>
          </mc:Choice>
        </mc:AlternateContent>
        <mc:AlternateContent xmlns:mc="http://schemas.openxmlformats.org/markup-compatibility/2006">
          <mc:Choice Requires="x14">
            <control shapeId="1096" r:id="rId26" name="Group Box 72">
              <controlPr defaultSize="0" autoFill="0" autoPict="0">
                <anchor moveWithCells="1">
                  <from>
                    <xdr:col>6</xdr:col>
                    <xdr:colOff>9525</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1097" r:id="rId27" name="Option Button 73">
              <controlPr defaultSize="0" autoFill="0" autoLine="0" autoPict="0">
                <anchor moveWithCells="1">
                  <from>
                    <xdr:col>7</xdr:col>
                    <xdr:colOff>666750</xdr:colOff>
                    <xdr:row>4</xdr:row>
                    <xdr:rowOff>28575</xdr:rowOff>
                  </from>
                  <to>
                    <xdr:col>7</xdr:col>
                    <xdr:colOff>866775</xdr:colOff>
                    <xdr:row>4</xdr:row>
                    <xdr:rowOff>209550</xdr:rowOff>
                  </to>
                </anchor>
              </controlPr>
            </control>
          </mc:Choice>
        </mc:AlternateContent>
        <mc:AlternateContent xmlns:mc="http://schemas.openxmlformats.org/markup-compatibility/2006">
          <mc:Choice Requires="x14">
            <control shapeId="1099" r:id="rId28" name="Option Button 75">
              <controlPr defaultSize="0" autoFill="0" autoLine="0" autoPict="0">
                <anchor moveWithCells="1">
                  <from>
                    <xdr:col>9</xdr:col>
                    <xdr:colOff>504825</xdr:colOff>
                    <xdr:row>4</xdr:row>
                    <xdr:rowOff>38100</xdr:rowOff>
                  </from>
                  <to>
                    <xdr:col>9</xdr:col>
                    <xdr:colOff>695325</xdr:colOff>
                    <xdr:row>4</xdr:row>
                    <xdr:rowOff>209550</xdr:rowOff>
                  </to>
                </anchor>
              </controlPr>
            </control>
          </mc:Choice>
        </mc:AlternateContent>
        <mc:AlternateContent xmlns:mc="http://schemas.openxmlformats.org/markup-compatibility/2006">
          <mc:Choice Requires="x14">
            <control shapeId="1100" r:id="rId29" name="Group Box 76">
              <controlPr defaultSize="0" autoFill="0" autoPict="0">
                <anchor moveWithCells="1">
                  <from>
                    <xdr:col>0</xdr:col>
                    <xdr:colOff>609600</xdr:colOff>
                    <xdr:row>22</xdr:row>
                    <xdr:rowOff>0</xdr:rowOff>
                  </from>
                  <to>
                    <xdr:col>3</xdr:col>
                    <xdr:colOff>0</xdr:colOff>
                    <xdr:row>24</xdr:row>
                    <xdr:rowOff>9525</xdr:rowOff>
                  </to>
                </anchor>
              </controlPr>
            </control>
          </mc:Choice>
        </mc:AlternateContent>
        <mc:AlternateContent xmlns:mc="http://schemas.openxmlformats.org/markup-compatibility/2006">
          <mc:Choice Requires="x14">
            <control shapeId="1101" r:id="rId30" name="Option Button 77">
              <controlPr defaultSize="0" autoFill="0" autoLine="0" autoPict="0">
                <anchor moveWithCells="1">
                  <from>
                    <xdr:col>1</xdr:col>
                    <xdr:colOff>1143000</xdr:colOff>
                    <xdr:row>23</xdr:row>
                    <xdr:rowOff>38100</xdr:rowOff>
                  </from>
                  <to>
                    <xdr:col>1</xdr:col>
                    <xdr:colOff>1371600</xdr:colOff>
                    <xdr:row>23</xdr:row>
                    <xdr:rowOff>228600</xdr:rowOff>
                  </to>
                </anchor>
              </controlPr>
            </control>
          </mc:Choice>
        </mc:AlternateContent>
        <mc:AlternateContent xmlns:mc="http://schemas.openxmlformats.org/markup-compatibility/2006">
          <mc:Choice Requires="x14">
            <control shapeId="1102" r:id="rId31" name="Option Button 78">
              <controlPr defaultSize="0" autoFill="0" autoLine="0" autoPict="0">
                <anchor moveWithCells="1">
                  <from>
                    <xdr:col>2</xdr:col>
                    <xdr:colOff>752475</xdr:colOff>
                    <xdr:row>23</xdr:row>
                    <xdr:rowOff>47625</xdr:rowOff>
                  </from>
                  <to>
                    <xdr:col>2</xdr:col>
                    <xdr:colOff>942975</xdr:colOff>
                    <xdr:row>23</xdr:row>
                    <xdr:rowOff>209550</xdr:rowOff>
                  </to>
                </anchor>
              </controlPr>
            </control>
          </mc:Choice>
        </mc:AlternateContent>
        <mc:AlternateContent xmlns:mc="http://schemas.openxmlformats.org/markup-compatibility/2006">
          <mc:Choice Requires="x14">
            <control shapeId="1109" r:id="rId32" name="Check Box 85">
              <controlPr defaultSize="0" autoFill="0" autoLine="0" autoPict="0">
                <anchor moveWithCells="1">
                  <from>
                    <xdr:col>2</xdr:col>
                    <xdr:colOff>466725</xdr:colOff>
                    <xdr:row>35</xdr:row>
                    <xdr:rowOff>85725</xdr:rowOff>
                  </from>
                  <to>
                    <xdr:col>2</xdr:col>
                    <xdr:colOff>647700</xdr:colOff>
                    <xdr:row>35</xdr:row>
                    <xdr:rowOff>266700</xdr:rowOff>
                  </to>
                </anchor>
              </controlPr>
            </control>
          </mc:Choice>
        </mc:AlternateContent>
        <mc:AlternateContent xmlns:mc="http://schemas.openxmlformats.org/markup-compatibility/2006">
          <mc:Choice Requires="x14">
            <control shapeId="1111" r:id="rId33" name="Check Box 87">
              <controlPr defaultSize="0" autoFill="0" autoLine="0" autoPict="0">
                <anchor moveWithCells="1">
                  <from>
                    <xdr:col>1</xdr:col>
                    <xdr:colOff>857250</xdr:colOff>
                    <xdr:row>38</xdr:row>
                    <xdr:rowOff>85725</xdr:rowOff>
                  </from>
                  <to>
                    <xdr:col>1</xdr:col>
                    <xdr:colOff>1143000</xdr:colOff>
                    <xdr:row>38</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7" id="{1AB964C8-413B-4B41-BC45-8534ECEDED71}">
            <xm:f>'R2U_Ref'!$C$7=1</xm:f>
            <x14:dxf>
              <border>
                <bottom style="thin">
                  <color auto="1"/>
                </bottom>
                <vertical/>
                <horizontal/>
              </border>
            </x14:dxf>
          </x14:cfRule>
          <xm:sqref>B35:D35</xm:sqref>
        </x14:conditionalFormatting>
        <x14:conditionalFormatting xmlns:xm="http://schemas.microsoft.com/office/excel/2006/main">
          <x14:cfRule type="expression" priority="19" id="{4E6C7E6C-1785-4C4C-A64B-8601CEA79432}">
            <xm:f>'R2U_Ref'!$C$7=1</xm:f>
            <x14:dxf>
              <border>
                <bottom style="thin">
                  <color auto="1"/>
                </bottom>
                <vertical/>
                <horizontal/>
              </border>
            </x14:dxf>
          </x14:cfRule>
          <xm:sqref>D36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F000000}">
          <x14:formula1>
            <xm:f>'R2U_Ref'!$C$115:$C$116</xm:f>
          </x14:formula1>
          <xm:sqref>G20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2:N120"/>
  <sheetViews>
    <sheetView showGridLines="0" topLeftCell="A64" zoomScale="75" zoomScaleNormal="75" workbookViewId="0">
      <selection activeCell="F33" sqref="F33"/>
    </sheetView>
  </sheetViews>
  <sheetFormatPr defaultRowHeight="15" x14ac:dyDescent="0.25"/>
  <cols>
    <col min="2" max="2" width="21.140625" customWidth="1"/>
    <col min="3" max="3" width="26.42578125" customWidth="1"/>
    <col min="4" max="4" width="14.7109375" customWidth="1"/>
    <col min="5" max="5" width="14.42578125" customWidth="1"/>
    <col min="6" max="6" width="13.28515625" customWidth="1"/>
    <col min="8" max="8" width="15" customWidth="1"/>
  </cols>
  <sheetData>
    <row r="2" spans="1:7" ht="15.75" thickBot="1" x14ac:dyDescent="0.3">
      <c r="A2" s="207"/>
      <c r="B2" s="207"/>
      <c r="C2" s="207"/>
      <c r="D2" s="647"/>
      <c r="E2" s="648"/>
      <c r="F2" s="7"/>
      <c r="G2" s="207"/>
    </row>
    <row r="3" spans="1:7" ht="16.5" thickTop="1" thickBot="1" x14ac:dyDescent="0.3">
      <c r="A3" s="207"/>
      <c r="B3" s="673" t="s">
        <v>0</v>
      </c>
      <c r="C3" s="674"/>
      <c r="D3" s="246" t="s">
        <v>6</v>
      </c>
      <c r="E3" s="247" t="s">
        <v>7</v>
      </c>
      <c r="F3" s="248" t="s">
        <v>8</v>
      </c>
      <c r="G3" s="207"/>
    </row>
    <row r="4" spans="1:7" ht="5.0999999999999996" customHeight="1" thickTop="1" thickBot="1" x14ac:dyDescent="0.3">
      <c r="A4" s="249"/>
      <c r="B4" s="650"/>
      <c r="C4" s="651"/>
      <c r="D4" s="237"/>
      <c r="E4" s="237"/>
      <c r="F4" s="238"/>
      <c r="G4" s="207"/>
    </row>
    <row r="5" spans="1:7" ht="20.100000000000001" customHeight="1" thickTop="1" x14ac:dyDescent="0.25">
      <c r="A5" s="249"/>
      <c r="B5" s="660" t="s">
        <v>1</v>
      </c>
      <c r="C5" s="149" t="s">
        <v>3</v>
      </c>
      <c r="D5" s="239">
        <v>2.5</v>
      </c>
      <c r="E5" s="242"/>
      <c r="F5" s="132">
        <f>IF('R2U_Ref'!$H$31=1,'R2U_Setup'!D5,IF('R2U_Ref'!$H$31=2,IF(E5&lt;&gt;"",'R2U_Setup'!E5,D5),"SELECT VALUE"))</f>
        <v>2.5</v>
      </c>
      <c r="G5" s="207"/>
    </row>
    <row r="6" spans="1:7" ht="20.100000000000001" customHeight="1" x14ac:dyDescent="0.25">
      <c r="A6" s="249"/>
      <c r="B6" s="660"/>
      <c r="C6" s="149" t="s">
        <v>4</v>
      </c>
      <c r="D6" s="240">
        <v>3</v>
      </c>
      <c r="E6" s="243"/>
      <c r="F6" s="132">
        <f>IF('R2U_Ref'!$H$32=1,'R2U_Setup'!D6,IF('R2U_Ref'!$H$32=2,IF(E6&lt;&gt;"",'R2U_Setup'!E6,D6),"SELECT VALUE"))</f>
        <v>3</v>
      </c>
      <c r="G6" s="207"/>
    </row>
    <row r="7" spans="1:7" ht="20.100000000000001" customHeight="1" thickBot="1" x14ac:dyDescent="0.3">
      <c r="A7" s="249"/>
      <c r="B7" s="661"/>
      <c r="C7" s="150" t="s">
        <v>5</v>
      </c>
      <c r="D7" s="241">
        <v>4.5</v>
      </c>
      <c r="E7" s="244"/>
      <c r="F7" s="133">
        <f>IF('R2U_Ref'!$H$33=1,'R2U_Setup'!D7,IF('R2U_Ref'!$H$33=2,IF(E7&lt;&gt;"",'R2U_Setup'!E7,D7),"SELECT VALUE"))</f>
        <v>4.5</v>
      </c>
      <c r="G7" s="207"/>
    </row>
    <row r="8" spans="1:7" ht="5.0999999999999996" customHeight="1" thickTop="1" thickBot="1" x14ac:dyDescent="0.3">
      <c r="A8" s="7"/>
      <c r="B8" s="233"/>
      <c r="C8" s="153"/>
      <c r="D8" s="154"/>
      <c r="E8" s="155"/>
      <c r="F8" s="235"/>
      <c r="G8" s="7"/>
    </row>
    <row r="9" spans="1:7" ht="20.100000000000001" customHeight="1" thickTop="1" x14ac:dyDescent="0.25">
      <c r="A9" s="249"/>
      <c r="B9" s="662" t="s">
        <v>227</v>
      </c>
      <c r="C9" s="151" t="s">
        <v>205</v>
      </c>
      <c r="D9" s="30">
        <v>8</v>
      </c>
      <c r="E9" s="90"/>
      <c r="F9" s="134">
        <f>IF('R2U_Ref'!E32=1,'R2U_Setup'!D9,IF('R2U_Ref'!E32=2,IF(E9&lt;&gt;"",'R2U_Setup'!E9,D9),"SELECT VALUE"))</f>
        <v>8</v>
      </c>
      <c r="G9" s="207"/>
    </row>
    <row r="10" spans="1:7" ht="20.100000000000001" customHeight="1" thickBot="1" x14ac:dyDescent="0.3">
      <c r="A10" s="249"/>
      <c r="B10" s="663"/>
      <c r="C10" s="150" t="s">
        <v>11</v>
      </c>
      <c r="D10" s="31">
        <v>8</v>
      </c>
      <c r="E10" s="91"/>
      <c r="F10" s="135">
        <f>IF('R2U_Ref'!E33=1,'R2U_Setup'!D10,IF('R2U_Ref'!E33=2,IF(E10&lt;&gt;"",'R2U_Setup'!E10,D10),"SELECT VALUE"))</f>
        <v>8</v>
      </c>
      <c r="G10" s="207"/>
    </row>
    <row r="11" spans="1:7" ht="5.0999999999999996" customHeight="1" thickTop="1" thickBot="1" x14ac:dyDescent="0.3">
      <c r="A11" s="7"/>
      <c r="B11" s="234"/>
      <c r="C11" s="153"/>
      <c r="D11" s="157"/>
      <c r="E11" s="158"/>
      <c r="F11" s="236"/>
      <c r="G11" s="7"/>
    </row>
    <row r="12" spans="1:7" ht="20.100000000000001" customHeight="1" thickTop="1" thickBot="1" x14ac:dyDescent="0.3">
      <c r="A12" s="249"/>
      <c r="B12" s="664" t="s">
        <v>12</v>
      </c>
      <c r="C12" s="151" t="s">
        <v>205</v>
      </c>
      <c r="D12" s="30">
        <v>2</v>
      </c>
      <c r="E12" s="90">
        <v>0</v>
      </c>
      <c r="F12" s="134">
        <f>IF('R2U_Ref'!E34=1,'R2U_Setup'!D12,IF('R2U_Ref'!E34=2,IF(E12&lt;&gt;"",'R2U_Setup'!E12,D12),"SELECT VALUE"))</f>
        <v>0</v>
      </c>
      <c r="G12" s="207"/>
    </row>
    <row r="13" spans="1:7" ht="20.100000000000001" customHeight="1" thickBot="1" x14ac:dyDescent="0.3">
      <c r="A13" s="249"/>
      <c r="B13" s="661"/>
      <c r="C13" s="150" t="s">
        <v>11</v>
      </c>
      <c r="D13" s="31">
        <v>2</v>
      </c>
      <c r="E13" s="91">
        <v>0</v>
      </c>
      <c r="F13" s="136">
        <f>IF('R2U_Ref'!E35=1,'R2U_Setup'!D13,IF('R2U_Ref'!E35=2,IF(E13&lt;&gt;"",'R2U_Setup'!E13,D13),"SELECT VALUE"))</f>
        <v>0</v>
      </c>
      <c r="G13" s="207"/>
    </row>
    <row r="14" spans="1:7" ht="5.0999999999999996" customHeight="1" thickTop="1" thickBot="1" x14ac:dyDescent="0.3">
      <c r="A14" s="7"/>
      <c r="B14" s="233"/>
      <c r="C14" s="153"/>
      <c r="D14" s="157"/>
      <c r="E14" s="158"/>
      <c r="F14" s="157"/>
      <c r="G14" s="251"/>
    </row>
    <row r="15" spans="1:7" ht="20.100000000000001" customHeight="1" thickTop="1" thickBot="1" x14ac:dyDescent="0.3">
      <c r="A15" s="249"/>
      <c r="B15" s="664" t="s">
        <v>13</v>
      </c>
      <c r="C15" s="151" t="s">
        <v>205</v>
      </c>
      <c r="D15" s="30">
        <v>5</v>
      </c>
      <c r="E15" s="90">
        <v>2.5</v>
      </c>
      <c r="F15" s="134">
        <f>IF('R2U_Ref'!E36=1,'R2U_Setup'!D15,IF('R2U_Ref'!E36=2,IF(E15&lt;&gt;"",'R2U_Setup'!E15,D15),"SELECT VALUE"))</f>
        <v>2.5</v>
      </c>
      <c r="G15" s="207"/>
    </row>
    <row r="16" spans="1:7" ht="20.100000000000001" customHeight="1" thickBot="1" x14ac:dyDescent="0.3">
      <c r="A16" s="249"/>
      <c r="B16" s="661"/>
      <c r="C16" s="150" t="s">
        <v>11</v>
      </c>
      <c r="D16" s="31">
        <v>5</v>
      </c>
      <c r="E16" s="91">
        <v>0</v>
      </c>
      <c r="F16" s="136">
        <f>IF('R2U_Ref'!E37=1,'R2U_Setup'!D16,IF('R2U_Ref'!E37=2,IF(E16&lt;&gt;"",'R2U_Setup'!E16,D16),"SELECT VALUE"))</f>
        <v>0</v>
      </c>
      <c r="G16" s="207"/>
    </row>
    <row r="17" spans="1:7" ht="5.0999999999999996" customHeight="1" thickTop="1" thickBot="1" x14ac:dyDescent="0.3">
      <c r="A17" s="7"/>
      <c r="B17" s="233"/>
      <c r="C17" s="152"/>
      <c r="D17" s="160"/>
      <c r="E17" s="158"/>
      <c r="F17" s="160"/>
      <c r="G17" s="251"/>
    </row>
    <row r="18" spans="1:7" ht="20.100000000000001" customHeight="1" thickTop="1" thickBot="1" x14ac:dyDescent="0.3">
      <c r="A18" s="207"/>
      <c r="B18" s="656" t="s">
        <v>263</v>
      </c>
      <c r="C18" s="657"/>
      <c r="D18" s="103">
        <v>500</v>
      </c>
      <c r="E18" s="360"/>
      <c r="F18" s="137">
        <f>IF('R2U_Ref'!E38=1,'R2U_Setup'!D18,IF('R2U_Ref'!E38=2,IF(E18&lt;&gt;"",'R2U_Setup'!E18,D18),"SELECT VALUE"))</f>
        <v>500</v>
      </c>
      <c r="G18" s="207"/>
    </row>
    <row r="19" spans="1:7" ht="15.75" thickTop="1" x14ac:dyDescent="0.25">
      <c r="A19" s="207"/>
      <c r="B19" s="7"/>
      <c r="C19" s="207"/>
      <c r="D19" s="207"/>
      <c r="E19" s="250"/>
      <c r="F19" s="207"/>
      <c r="G19" s="207"/>
    </row>
    <row r="20" spans="1:7" ht="15.75" thickBot="1" x14ac:dyDescent="0.3">
      <c r="B20" s="4"/>
      <c r="E20" s="4"/>
    </row>
    <row r="21" spans="1:7" ht="16.5" thickTop="1" thickBot="1" x14ac:dyDescent="0.3">
      <c r="A21" s="207"/>
      <c r="B21" s="673" t="s">
        <v>14</v>
      </c>
      <c r="C21" s="675"/>
      <c r="D21" s="256" t="s">
        <v>6</v>
      </c>
      <c r="E21" s="257" t="s">
        <v>7</v>
      </c>
      <c r="F21" s="248" t="s">
        <v>8</v>
      </c>
      <c r="G21" s="207"/>
    </row>
    <row r="22" spans="1:7" ht="5.0999999999999996" customHeight="1" thickTop="1" thickBot="1" x14ac:dyDescent="0.3">
      <c r="A22" s="7"/>
      <c r="B22" s="671"/>
      <c r="C22" s="672"/>
      <c r="D22" s="210"/>
      <c r="E22" s="210"/>
      <c r="F22" s="252"/>
      <c r="G22" s="207"/>
    </row>
    <row r="23" spans="1:7" ht="20.100000000000001" customHeight="1" thickTop="1" thickBot="1" x14ac:dyDescent="0.3">
      <c r="A23" s="7"/>
      <c r="B23" s="35" t="s">
        <v>15</v>
      </c>
      <c r="C23" s="181" t="s">
        <v>27</v>
      </c>
      <c r="D23" s="66">
        <v>10</v>
      </c>
      <c r="E23" s="148">
        <v>17.12</v>
      </c>
      <c r="F23" s="139">
        <f>IF('R2U_Ref'!E41=1,'R2U_Setup'!D23,IF('R2U_Ref'!E41=2,IF(E23&lt;&gt;"",'R2U_Setup'!E23,D23),"SELECT VALUE"))</f>
        <v>17.12</v>
      </c>
      <c r="G23" s="7"/>
    </row>
    <row r="24" spans="1:7" ht="5.0999999999999996" customHeight="1" thickTop="1" thickBot="1" x14ac:dyDescent="0.3">
      <c r="A24" s="7"/>
      <c r="B24" s="253"/>
      <c r="C24" s="162"/>
      <c r="D24" s="163"/>
      <c r="E24" s="164"/>
      <c r="F24" s="254"/>
      <c r="G24" s="207"/>
    </row>
    <row r="25" spans="1:7" ht="20.100000000000001" customHeight="1" thickTop="1" thickBot="1" x14ac:dyDescent="0.3">
      <c r="A25" s="7"/>
      <c r="B25" s="35" t="s">
        <v>16</v>
      </c>
      <c r="C25" s="182" t="s">
        <v>27</v>
      </c>
      <c r="D25" s="65">
        <v>2</v>
      </c>
      <c r="E25" s="148">
        <v>3.16</v>
      </c>
      <c r="F25" s="139">
        <f>IF('R2U_Ref'!E42=1,'R2U_Setup'!D25,IF('R2U_Ref'!E42=2,IF(E25&lt;&gt;"",'R2U_Setup'!E25,D25),"SELECT VALUE"))</f>
        <v>3.16</v>
      </c>
      <c r="G25" s="207"/>
    </row>
    <row r="26" spans="1:7" ht="5.0999999999999996" customHeight="1" thickTop="1" thickBot="1" x14ac:dyDescent="0.3">
      <c r="A26" s="7"/>
      <c r="B26" s="234"/>
      <c r="C26" s="165"/>
      <c r="D26" s="163"/>
      <c r="E26" s="164"/>
      <c r="F26" s="163"/>
      <c r="G26" s="251"/>
    </row>
    <row r="27" spans="1:7" ht="31.5" thickTop="1" thickBot="1" x14ac:dyDescent="0.3">
      <c r="A27" s="7"/>
      <c r="B27" s="105" t="s">
        <v>17</v>
      </c>
      <c r="C27" s="183" t="s">
        <v>759</v>
      </c>
      <c r="D27" s="66">
        <v>55</v>
      </c>
      <c r="E27" s="148">
        <v>100</v>
      </c>
      <c r="F27" s="139">
        <f>IF('R2U_Ref'!E43=1,'R2U_Setup'!D27,IF('R2U_Ref'!E43=2,IF(E27&lt;&gt;"",'R2U_Setup'!E27,D27),"SELECT VALUE"))</f>
        <v>100</v>
      </c>
      <c r="G27" s="207"/>
    </row>
    <row r="28" spans="1:7" ht="5.0999999999999996" customHeight="1" thickTop="1" thickBot="1" x14ac:dyDescent="0.3">
      <c r="A28" s="7"/>
      <c r="B28" s="233"/>
      <c r="C28" s="166"/>
      <c r="D28" s="167"/>
      <c r="E28" s="168"/>
      <c r="F28" s="254"/>
      <c r="G28" s="7"/>
    </row>
    <row r="29" spans="1:7" ht="31.5" thickTop="1" thickBot="1" x14ac:dyDescent="0.3">
      <c r="A29" s="249"/>
      <c r="B29" s="34" t="s">
        <v>18</v>
      </c>
      <c r="C29" s="183" t="s">
        <v>27</v>
      </c>
      <c r="D29" s="66">
        <v>40</v>
      </c>
      <c r="E29" s="92"/>
      <c r="F29" s="140">
        <f>IF('R2U_Ref'!E44=1,'R2U_Setup'!D29,IF('R2U_Ref'!E44=2,IF(E29&lt;&gt;"",'R2U_Setup'!E29,D29),"SELECT VALUE"))</f>
        <v>40</v>
      </c>
      <c r="G29" s="207"/>
    </row>
    <row r="30" spans="1:7" ht="5.0999999999999996" customHeight="1" thickTop="1" thickBot="1" x14ac:dyDescent="0.3">
      <c r="A30" s="7"/>
      <c r="B30" s="233"/>
      <c r="C30" s="169"/>
      <c r="D30" s="170"/>
      <c r="E30" s="171"/>
      <c r="F30" s="170"/>
      <c r="G30" s="251"/>
    </row>
    <row r="31" spans="1:7" ht="31.5" thickTop="1" thickBot="1" x14ac:dyDescent="0.3">
      <c r="A31" s="249"/>
      <c r="B31" s="34" t="s">
        <v>19</v>
      </c>
      <c r="C31" s="183" t="s">
        <v>759</v>
      </c>
      <c r="D31" s="66">
        <v>1</v>
      </c>
      <c r="E31" s="92">
        <v>49.29</v>
      </c>
      <c r="F31" s="140">
        <f>IF('R2U_Ref'!E45=1,'R2U_Setup'!D31,IF('R2U_Ref'!E45=2,IF(E31&lt;&gt;"",'R2U_Setup'!E31,D31),"SELECT VALUE"))</f>
        <v>49.29</v>
      </c>
      <c r="G31" s="207"/>
    </row>
    <row r="32" spans="1:7" ht="5.0999999999999996" customHeight="1" thickTop="1" thickBot="1" x14ac:dyDescent="0.3">
      <c r="A32" s="7"/>
      <c r="B32" s="233"/>
      <c r="C32" s="169"/>
      <c r="D32" s="170"/>
      <c r="E32" s="171"/>
      <c r="F32" s="170"/>
      <c r="G32" s="251"/>
    </row>
    <row r="33" spans="1:7" ht="20.100000000000001" customHeight="1" thickTop="1" thickBot="1" x14ac:dyDescent="0.3">
      <c r="A33" s="249"/>
      <c r="B33" s="33" t="s">
        <v>20</v>
      </c>
      <c r="C33" s="183" t="s">
        <v>26</v>
      </c>
      <c r="D33" s="66">
        <v>8</v>
      </c>
      <c r="E33" s="92">
        <v>44.32</v>
      </c>
      <c r="F33" s="140">
        <f>IF('R2U_Ref'!E46=1,'R2U_Setup'!D33,IF('R2U_Ref'!E46=2,IF(E33&lt;&gt;"",'R2U_Setup'!E33,D33),"SELECT VALUE"))</f>
        <v>44.32</v>
      </c>
      <c r="G33" s="207"/>
    </row>
    <row r="34" spans="1:7" ht="5.0999999999999996" customHeight="1" thickTop="1" thickBot="1" x14ac:dyDescent="0.3">
      <c r="A34" s="7"/>
      <c r="B34" s="234"/>
      <c r="C34" s="169"/>
      <c r="D34" s="170"/>
      <c r="E34" s="171"/>
      <c r="F34" s="170"/>
      <c r="G34" s="251"/>
    </row>
    <row r="35" spans="1:7" ht="20.100000000000001" customHeight="1" thickTop="1" thickBot="1" x14ac:dyDescent="0.3">
      <c r="A35" s="249"/>
      <c r="B35" s="35" t="s">
        <v>21</v>
      </c>
      <c r="C35" s="183" t="s">
        <v>28</v>
      </c>
      <c r="D35" s="109">
        <v>5000</v>
      </c>
      <c r="E35" s="93"/>
      <c r="F35" s="141">
        <f>IF('R2U_Ref'!E47=1,'R2U_Setup'!D35,IF('R2U_Ref'!E47=2,IF(E35&lt;&gt;"",'R2U_Setup'!E35,D35),"SELECT VALUE"))</f>
        <v>5000</v>
      </c>
      <c r="G35" s="207"/>
    </row>
    <row r="36" spans="1:7" ht="5.0999999999999996" customHeight="1" thickTop="1" thickBot="1" x14ac:dyDescent="0.3">
      <c r="A36" s="249"/>
      <c r="B36" s="156"/>
      <c r="C36" s="169"/>
      <c r="D36" s="172"/>
      <c r="E36" s="173"/>
      <c r="F36" s="255"/>
      <c r="G36" s="7"/>
    </row>
    <row r="37" spans="1:7" ht="30" customHeight="1" thickTop="1" thickBot="1" x14ac:dyDescent="0.3">
      <c r="A37" s="249"/>
      <c r="B37" s="104" t="s">
        <v>271</v>
      </c>
      <c r="C37" s="184" t="s">
        <v>265</v>
      </c>
      <c r="D37" s="65">
        <v>0.5</v>
      </c>
      <c r="E37" s="92"/>
      <c r="F37" s="140">
        <f>IF('R2U_Ref'!E121=1,'R2U_Setup'!D37,IF('R2U_Ref'!E121=2,IF(E37&lt;&gt;"",'R2U_Setup'!E37,D37),"SELECT VALUE"))</f>
        <v>0.5</v>
      </c>
      <c r="G37" s="207"/>
    </row>
    <row r="38" spans="1:7" ht="5.0999999999999996" customHeight="1" thickTop="1" thickBot="1" x14ac:dyDescent="0.3">
      <c r="A38" s="7"/>
      <c r="B38" s="233"/>
      <c r="C38" s="174"/>
      <c r="D38" s="170"/>
      <c r="E38" s="171"/>
      <c r="F38" s="254"/>
      <c r="G38" s="7"/>
    </row>
    <row r="39" spans="1:7" ht="30" customHeight="1" thickTop="1" thickBot="1" x14ac:dyDescent="0.3">
      <c r="A39" s="249"/>
      <c r="B39" s="104" t="s">
        <v>270</v>
      </c>
      <c r="C39" s="185" t="s">
        <v>272</v>
      </c>
      <c r="D39" s="65">
        <v>0.4</v>
      </c>
      <c r="E39" s="92"/>
      <c r="F39" s="140">
        <f>IF('R2U_Ref'!E122=1,'R2U_Setup'!D39,IF('R2U_Ref'!E122=2,IF(E39&lt;&gt;"",'R2U_Setup'!E39,D39),"SELECT VALUE"))</f>
        <v>0.4</v>
      </c>
      <c r="G39" s="207"/>
    </row>
    <row r="40" spans="1:7" ht="5.0999999999999996" customHeight="1" thickTop="1" thickBot="1" x14ac:dyDescent="0.3">
      <c r="A40" s="249"/>
      <c r="B40" s="159"/>
      <c r="C40" s="175"/>
      <c r="D40" s="170"/>
      <c r="E40" s="164"/>
      <c r="F40" s="170"/>
      <c r="G40" s="251"/>
    </row>
    <row r="41" spans="1:7" ht="30" customHeight="1" thickTop="1" thickBot="1" x14ac:dyDescent="0.3">
      <c r="A41" s="249"/>
      <c r="B41" s="105" t="s">
        <v>725</v>
      </c>
      <c r="C41" s="183" t="s">
        <v>265</v>
      </c>
      <c r="D41" s="65">
        <v>4</v>
      </c>
      <c r="E41" s="92">
        <v>0.66</v>
      </c>
      <c r="F41" s="140">
        <f>IF('R2U_Ref'!E119=1,'R2U_Setup'!D41,IF('R2U_Ref'!E119=2,IF(E41&lt;&gt;"",'R2U_Setup'!E41,D41),"SELECT VALUE"))</f>
        <v>0.66</v>
      </c>
      <c r="G41" s="207"/>
    </row>
    <row r="42" spans="1:7" ht="5.0999999999999996" customHeight="1" thickTop="1" thickBot="1" x14ac:dyDescent="0.3">
      <c r="A42" s="7"/>
      <c r="B42" s="233"/>
      <c r="C42" s="169"/>
      <c r="D42" s="167"/>
      <c r="E42" s="171"/>
      <c r="F42" s="254"/>
      <c r="G42" s="207"/>
    </row>
    <row r="43" spans="1:7" ht="20.100000000000001" customHeight="1" thickTop="1" thickBot="1" x14ac:dyDescent="0.3">
      <c r="A43" s="249"/>
      <c r="B43" s="35" t="s">
        <v>264</v>
      </c>
      <c r="C43" s="186" t="s">
        <v>266</v>
      </c>
      <c r="D43" s="106">
        <v>60</v>
      </c>
      <c r="E43" s="92"/>
      <c r="F43" s="140">
        <f>IF('R2U_Ref'!E120=1,'R2U_Setup'!D43,IF('R2U_Ref'!E120=2,IF(E43&lt;&gt;"",'R2U_Setup'!E43,D43),"SELECT VALUE"))</f>
        <v>60</v>
      </c>
      <c r="G43" s="207"/>
    </row>
    <row r="44" spans="1:7" ht="5.0999999999999996" customHeight="1" thickTop="1" thickBot="1" x14ac:dyDescent="0.3">
      <c r="A44" s="7"/>
      <c r="B44" s="234"/>
      <c r="C44" s="169"/>
      <c r="D44" s="170"/>
      <c r="E44" s="171"/>
      <c r="F44" s="254"/>
      <c r="G44" s="207"/>
    </row>
    <row r="45" spans="1:7" ht="20.100000000000001" customHeight="1" thickTop="1" x14ac:dyDescent="0.25">
      <c r="A45" s="249"/>
      <c r="B45" s="654" t="s">
        <v>22</v>
      </c>
      <c r="C45" s="187" t="s">
        <v>29</v>
      </c>
      <c r="D45" s="47">
        <v>8.9999999999999993E-3</v>
      </c>
      <c r="E45" s="98"/>
      <c r="F45" s="142">
        <f>IF('R2U_Ref'!$E$48=1,'R2U_Setup'!D45,IF('R2U_Ref'!$E$48=2,IF(E45&lt;&gt;"",'R2U_Setup'!E45,D45),"SELECT VALUE"))</f>
        <v>8.9999999999999993E-3</v>
      </c>
      <c r="G45" s="207"/>
    </row>
    <row r="46" spans="1:7" ht="20.100000000000001" customHeight="1" x14ac:dyDescent="0.25">
      <c r="A46" s="249"/>
      <c r="B46" s="654"/>
      <c r="C46" s="187" t="s">
        <v>30</v>
      </c>
      <c r="D46" s="258">
        <v>3.0000000000000001E-3</v>
      </c>
      <c r="E46" s="98"/>
      <c r="F46" s="142">
        <f>IF('R2U_Ref'!$E$49=1,'R2U_Setup'!D46,IF('R2U_Ref'!$E$49=2,IF(E46&lt;&gt;"",'R2U_Setup'!E46,D46),"SELECT VALUE"))</f>
        <v>3.0000000000000001E-3</v>
      </c>
      <c r="G46" s="207"/>
    </row>
    <row r="47" spans="1:7" ht="20.100000000000001" customHeight="1" x14ac:dyDescent="0.25">
      <c r="A47" s="249"/>
      <c r="B47" s="654"/>
      <c r="C47" s="187" t="s">
        <v>31</v>
      </c>
      <c r="D47" s="47">
        <v>0.08</v>
      </c>
      <c r="E47" s="98"/>
      <c r="F47" s="142">
        <f>IF('R2U_Ref'!$E$50=1,'R2U_Setup'!D47,IF('R2U_Ref'!$E$50=2,IF(E47&lt;&gt;"",'R2U_Setup'!E47,D47),"SELECT VALUE"))</f>
        <v>0.08</v>
      </c>
      <c r="G47" s="207"/>
    </row>
    <row r="48" spans="1:7" ht="20.100000000000001" customHeight="1" thickBot="1" x14ac:dyDescent="0.3">
      <c r="A48" s="249"/>
      <c r="B48" s="655"/>
      <c r="C48" s="188" t="s">
        <v>32</v>
      </c>
      <c r="D48" s="259">
        <v>7.4999999999999997E-2</v>
      </c>
      <c r="E48" s="260"/>
      <c r="F48" s="143">
        <f>IF('R2U_Ref'!$E$51=1,'R2U_Setup'!D48,IF('R2U_Ref'!$E$51=2,IF(E48&lt;&gt;"",'R2U_Setup'!E48,D48),"SELECT VALUE"))</f>
        <v>7.4999999999999997E-2</v>
      </c>
      <c r="G48" s="207"/>
    </row>
    <row r="49" spans="1:7" ht="5.0999999999999996" customHeight="1" thickTop="1" thickBot="1" x14ac:dyDescent="0.3">
      <c r="A49" s="7"/>
      <c r="B49" s="233"/>
      <c r="C49" s="166"/>
      <c r="D49" s="176"/>
      <c r="E49" s="177"/>
      <c r="F49" s="176"/>
      <c r="G49" s="251"/>
    </row>
    <row r="50" spans="1:7" ht="20.100000000000001" customHeight="1" thickTop="1" thickBot="1" x14ac:dyDescent="0.3">
      <c r="A50" s="249"/>
      <c r="B50" s="35" t="s">
        <v>23</v>
      </c>
      <c r="C50" s="182" t="s">
        <v>33</v>
      </c>
      <c r="D50" s="43">
        <v>7.0000000000000007E-2</v>
      </c>
      <c r="E50" s="96"/>
      <c r="F50" s="144">
        <f>IF('R2U_Ref'!E52=1,'R2U_Setup'!D50,IF('R2U_Ref'!E52=2,IF(E50&lt;&gt;"",'R2U_Setup'!E50,D50),"SELECT VALUE"))</f>
        <v>7.0000000000000007E-2</v>
      </c>
      <c r="G50" s="251"/>
    </row>
    <row r="51" spans="1:7" ht="5.0999999999999996" customHeight="1" thickTop="1" thickBot="1" x14ac:dyDescent="0.3">
      <c r="A51" s="7"/>
      <c r="B51" s="234"/>
      <c r="C51" s="174"/>
      <c r="D51" s="178"/>
      <c r="E51" s="179"/>
      <c r="F51" s="178"/>
      <c r="G51" s="251"/>
    </row>
    <row r="52" spans="1:7" ht="24.95" customHeight="1" thickTop="1" x14ac:dyDescent="0.25">
      <c r="A52" s="207"/>
      <c r="B52" s="662" t="s">
        <v>24</v>
      </c>
      <c r="C52" s="189" t="s">
        <v>34</v>
      </c>
      <c r="D52" s="665">
        <v>20</v>
      </c>
      <c r="E52" s="39"/>
      <c r="F52" s="667">
        <f>IF('R2U_Ref'!E53=1,'R2U_Setup'!D52,IF('R2U_Ref'!E53=2,IF('R2U_Ref'!D53=1,5,IF('R2U_Ref'!D53=2,10,IF('R2U_Ref'!D53=3,20,'R2U_Setup'!D52))),"SELECT OPTION"))</f>
        <v>20</v>
      </c>
      <c r="G52" s="207"/>
    </row>
    <row r="53" spans="1:7" ht="24.95" customHeight="1" x14ac:dyDescent="0.25">
      <c r="A53" s="207"/>
      <c r="B53" s="670"/>
      <c r="C53" s="187" t="s">
        <v>35</v>
      </c>
      <c r="D53" s="666"/>
      <c r="E53" s="40"/>
      <c r="F53" s="668"/>
      <c r="G53" s="207"/>
    </row>
    <row r="54" spans="1:7" ht="24.95" customHeight="1" thickBot="1" x14ac:dyDescent="0.3">
      <c r="A54" s="207"/>
      <c r="B54" s="670"/>
      <c r="C54" s="187" t="s">
        <v>36</v>
      </c>
      <c r="D54" s="666"/>
      <c r="E54" s="40"/>
      <c r="F54" s="669"/>
      <c r="G54" s="207"/>
    </row>
    <row r="55" spans="1:7" ht="24.95" customHeight="1" thickTop="1" thickBot="1" x14ac:dyDescent="0.3">
      <c r="A55" s="207"/>
      <c r="B55" s="670"/>
      <c r="C55" s="187" t="s">
        <v>37</v>
      </c>
      <c r="D55" s="63">
        <v>20</v>
      </c>
      <c r="E55" s="40"/>
      <c r="F55" s="145">
        <f>IF('R2U_Ref'!E56=1,'R2U_Setup'!D55,IF('R2U_Ref'!E56=2,IF('R2U_Ref'!D56=1,5,IF('R2U_Ref'!D56=2,10,IF('R2U_Ref'!D56=3,20,'R2U_Setup'!D55))),"SELECT OPTION"))</f>
        <v>20</v>
      </c>
      <c r="G55" s="207"/>
    </row>
    <row r="56" spans="1:7" ht="24.95" customHeight="1" thickTop="1" thickBot="1" x14ac:dyDescent="0.3">
      <c r="A56" s="207"/>
      <c r="B56" s="670"/>
      <c r="C56" s="187" t="s">
        <v>38</v>
      </c>
      <c r="D56" s="63">
        <v>5</v>
      </c>
      <c r="E56" s="40"/>
      <c r="F56" s="145">
        <f>IF('R2U_Ref'!E57=1,'R2U_Setup'!D56,IF('R2U_Ref'!E57=2,IF('R2U_Ref'!D57=1,5,IF('R2U_Ref'!D57=2,10,IF('R2U_Ref'!D57=3,20,'R2U_Setup'!D56))),"SELECT OPTION"))</f>
        <v>5</v>
      </c>
      <c r="G56" s="207"/>
    </row>
    <row r="57" spans="1:7" ht="24.95" customHeight="1" thickTop="1" thickBot="1" x14ac:dyDescent="0.3">
      <c r="A57" s="207"/>
      <c r="B57" s="663"/>
      <c r="C57" s="190" t="s">
        <v>39</v>
      </c>
      <c r="D57" s="64">
        <v>20</v>
      </c>
      <c r="E57" s="41"/>
      <c r="F57" s="145">
        <f>IF('R2U_Ref'!E58=1,'R2U_Setup'!D57,IF('R2U_Ref'!E58=2,IF('R2U_Ref'!D58=1,5,IF('R2U_Ref'!D58=2,10,IF('R2U_Ref'!D58=3,20,'R2U_Setup'!D57))),"SELECT OPTION"))</f>
        <v>20</v>
      </c>
      <c r="G57" s="207"/>
    </row>
    <row r="58" spans="1:7" ht="5.0999999999999996" customHeight="1" thickTop="1" thickBot="1" x14ac:dyDescent="0.3">
      <c r="A58" s="207"/>
      <c r="B58" s="234"/>
      <c r="C58" s="262"/>
      <c r="D58" s="180"/>
      <c r="E58" s="153"/>
      <c r="F58" s="180"/>
      <c r="G58" s="251"/>
    </row>
    <row r="59" spans="1:7" ht="20.100000000000001" customHeight="1" thickTop="1" x14ac:dyDescent="0.25">
      <c r="A59" s="249"/>
      <c r="B59" s="654" t="s">
        <v>25</v>
      </c>
      <c r="C59" s="261" t="s">
        <v>40</v>
      </c>
      <c r="D59" s="263">
        <v>4008900</v>
      </c>
      <c r="E59" s="264">
        <v>1571053</v>
      </c>
      <c r="F59" s="146">
        <f>IF('R2U_Ref'!$E$59=1,'R2U_Setup'!D59,IF('R2U_Ref'!$E$59=2,IF(E59&lt;&gt;"",'R2U_Setup'!E59,D59),"SELECT VALUE"))</f>
        <v>1571053</v>
      </c>
      <c r="G59" s="207"/>
    </row>
    <row r="60" spans="1:7" ht="20.100000000000001" customHeight="1" x14ac:dyDescent="0.25">
      <c r="A60" s="249"/>
      <c r="B60" s="654"/>
      <c r="C60" s="187" t="s">
        <v>41</v>
      </c>
      <c r="D60" s="265">
        <v>216000</v>
      </c>
      <c r="E60" s="266">
        <v>1571053</v>
      </c>
      <c r="F60" s="146">
        <f>IF('R2U_Ref'!$E$60=1,'R2U_Setup'!D60,IF('R2U_Ref'!$E$60=2,IF(E60&lt;&gt;"",'R2U_Setup'!E60,D60),"SELECT VALUE"))</f>
        <v>1571053</v>
      </c>
      <c r="G60" s="207"/>
    </row>
    <row r="61" spans="1:7" ht="20.100000000000001" customHeight="1" x14ac:dyDescent="0.25">
      <c r="A61" s="249"/>
      <c r="B61" s="654"/>
      <c r="C61" s="187" t="s">
        <v>42</v>
      </c>
      <c r="D61" s="267">
        <v>79000</v>
      </c>
      <c r="E61" s="266">
        <v>128959</v>
      </c>
      <c r="F61" s="146">
        <f>IF('R2U_Ref'!$E$61=1,'R2U_Setup'!D61,IF('R2U_Ref'!$E$61=2,IF(E61&lt;&gt;"",'R2U_Setup'!E61,D61),"SELECT VALUE"))</f>
        <v>128959</v>
      </c>
      <c r="G61" s="207"/>
    </row>
    <row r="62" spans="1:7" ht="20.100000000000001" customHeight="1" x14ac:dyDescent="0.25">
      <c r="A62" s="249"/>
      <c r="B62" s="654"/>
      <c r="C62" s="187" t="s">
        <v>43</v>
      </c>
      <c r="D62" s="267">
        <v>44900</v>
      </c>
      <c r="E62" s="266">
        <v>128959</v>
      </c>
      <c r="F62" s="146">
        <f>IF('R2U_Ref'!$E$62=1,'R2U_Setup'!D62,IF('R2U_Ref'!$E$62=2,IF(E62&lt;&gt;"",'R2U_Setup'!E62,D62),"SELECT VALUE"))</f>
        <v>128959</v>
      </c>
      <c r="G62" s="207"/>
    </row>
    <row r="63" spans="1:7" ht="20.100000000000001" customHeight="1" thickBot="1" x14ac:dyDescent="0.3">
      <c r="A63" s="249"/>
      <c r="B63" s="655"/>
      <c r="C63" s="188" t="s">
        <v>44</v>
      </c>
      <c r="D63" s="268">
        <v>7400</v>
      </c>
      <c r="E63" s="269">
        <v>9624</v>
      </c>
      <c r="F63" s="147">
        <f>IF('R2U_Ref'!$E$63=1,'R2U_Setup'!D63,IF('R2U_Ref'!$E$63=2,IF(E63&lt;&gt;"",'R2U_Setup'!E63,D63),"SELECT VALUE"))</f>
        <v>9624</v>
      </c>
      <c r="G63" s="207"/>
    </row>
    <row r="64" spans="1:7" ht="15.75" thickTop="1" x14ac:dyDescent="0.25">
      <c r="A64" s="207"/>
      <c r="B64" s="207"/>
      <c r="C64" s="207"/>
      <c r="D64" s="207"/>
      <c r="E64" s="207"/>
      <c r="F64" s="250"/>
      <c r="G64" s="207"/>
    </row>
    <row r="65" spans="1:13" ht="15.75" thickBot="1" x14ac:dyDescent="0.3">
      <c r="A65" s="207"/>
      <c r="B65" s="207"/>
      <c r="C65" s="7"/>
      <c r="D65" s="270"/>
      <c r="E65" s="270"/>
      <c r="F65" s="7"/>
      <c r="G65" s="207"/>
    </row>
    <row r="66" spans="1:13" ht="16.5" customHeight="1" thickTop="1" thickBot="1" x14ac:dyDescent="0.3">
      <c r="A66" s="207"/>
      <c r="B66" s="673" t="s">
        <v>45</v>
      </c>
      <c r="C66" s="675"/>
      <c r="D66" s="246" t="s">
        <v>6</v>
      </c>
      <c r="E66" s="247" t="s">
        <v>7</v>
      </c>
      <c r="F66" s="248" t="s">
        <v>8</v>
      </c>
      <c r="G66" s="207"/>
      <c r="H66" s="565" t="s">
        <v>174</v>
      </c>
      <c r="I66" s="565"/>
      <c r="K66" s="676" t="s">
        <v>375</v>
      </c>
      <c r="L66" s="677"/>
      <c r="M66" s="678"/>
    </row>
    <row r="67" spans="1:13" ht="5.0999999999999996" customHeight="1" thickTop="1" thickBot="1" x14ac:dyDescent="0.3">
      <c r="A67" s="249"/>
      <c r="B67" s="652"/>
      <c r="C67" s="653"/>
      <c r="D67" s="210"/>
      <c r="E67" s="213"/>
      <c r="F67" s="210"/>
      <c r="G67" s="271"/>
      <c r="H67" s="649"/>
      <c r="I67" s="649"/>
      <c r="K67" s="679"/>
      <c r="L67" s="680"/>
      <c r="M67" s="681"/>
    </row>
    <row r="68" spans="1:13" ht="20.100000000000001" customHeight="1" thickTop="1" thickBot="1" x14ac:dyDescent="0.3">
      <c r="A68" s="249"/>
      <c r="B68" s="52" t="s">
        <v>46</v>
      </c>
      <c r="C68" s="54"/>
      <c r="D68" s="55" t="s">
        <v>55</v>
      </c>
      <c r="E68" s="56" t="s">
        <v>56</v>
      </c>
      <c r="F68" s="205" t="str">
        <f>IF('R2U_Ref'!E67=1,"HSM SPF",IF('R2U_Ref'!E67=2,"User Specified","SELECT OPTION"))</f>
        <v>HSM SPF</v>
      </c>
      <c r="G68" s="207"/>
      <c r="H68" s="685" t="s">
        <v>60</v>
      </c>
      <c r="I68" s="687">
        <f>IF('R2U_Ref'!E67=2,'R2U_Project'!C5,0)</f>
        <v>0</v>
      </c>
      <c r="K68" s="679"/>
      <c r="L68" s="680"/>
      <c r="M68" s="681"/>
    </row>
    <row r="69" spans="1:13" ht="5.0999999999999996" customHeight="1" thickTop="1" thickBot="1" x14ac:dyDescent="0.3">
      <c r="A69" s="249"/>
      <c r="B69" s="213"/>
      <c r="C69" s="153"/>
      <c r="D69" s="156"/>
      <c r="E69" s="214"/>
      <c r="F69" s="156"/>
      <c r="G69" s="271"/>
      <c r="H69" s="686"/>
      <c r="I69" s="688"/>
      <c r="K69" s="679"/>
      <c r="L69" s="680"/>
      <c r="M69" s="681"/>
    </row>
    <row r="70" spans="1:13" ht="20.100000000000001" customHeight="1" thickTop="1" thickBot="1" x14ac:dyDescent="0.3">
      <c r="A70" s="249"/>
      <c r="B70" s="53" t="s">
        <v>47</v>
      </c>
      <c r="C70" s="54"/>
      <c r="D70" s="45">
        <v>1</v>
      </c>
      <c r="E70" s="97"/>
      <c r="F70" s="206">
        <f>IF('R2U_Ref'!E68=1,'R2U_Setup'!D70,IF('R2U_Ref'!E68=2,IF(E70&lt;&gt;"",'R2U_Setup'!E70,D70),"SELECT VALUE"))</f>
        <v>1</v>
      </c>
      <c r="G70" s="207"/>
      <c r="H70" s="685" t="s">
        <v>71</v>
      </c>
      <c r="I70" s="687">
        <f>IF('R2U_Ref'!E67=2,'R2U_Project'!C4,0)</f>
        <v>0</v>
      </c>
      <c r="K70" s="679"/>
      <c r="L70" s="680"/>
      <c r="M70" s="681"/>
    </row>
    <row r="71" spans="1:13" ht="5.0999999999999996" customHeight="1" thickTop="1" thickBot="1" x14ac:dyDescent="0.3">
      <c r="A71" s="249"/>
      <c r="B71" s="210"/>
      <c r="C71" s="161"/>
      <c r="D71" s="211"/>
      <c r="E71" s="212"/>
      <c r="F71" s="211"/>
      <c r="G71" s="271"/>
      <c r="H71" s="686"/>
      <c r="I71" s="688"/>
      <c r="J71" s="10"/>
      <c r="K71" s="679"/>
      <c r="L71" s="680"/>
      <c r="M71" s="681"/>
    </row>
    <row r="72" spans="1:13" ht="15.75" thickTop="1" x14ac:dyDescent="0.25">
      <c r="A72" s="249"/>
      <c r="B72" s="658" t="s">
        <v>48</v>
      </c>
      <c r="C72" s="38"/>
      <c r="D72" s="44"/>
      <c r="E72" s="42"/>
      <c r="F72" s="46"/>
      <c r="G72" s="207"/>
      <c r="H72" s="13" t="s">
        <v>103</v>
      </c>
      <c r="I72" s="25">
        <f>I68*I70*365*10^(-6)*EXP(-0.251)</f>
        <v>0</v>
      </c>
      <c r="K72" s="679"/>
      <c r="L72" s="680"/>
      <c r="M72" s="681"/>
    </row>
    <row r="73" spans="1:13" x14ac:dyDescent="0.25">
      <c r="A73" s="249"/>
      <c r="B73" s="658"/>
      <c r="C73" s="193" t="s">
        <v>219</v>
      </c>
      <c r="D73" s="369"/>
      <c r="E73" s="368"/>
      <c r="F73" s="195"/>
      <c r="G73" s="207"/>
      <c r="H73" s="13" t="s">
        <v>325</v>
      </c>
      <c r="I73" s="361">
        <v>0.23599999999999999</v>
      </c>
      <c r="J73" s="10"/>
      <c r="K73" s="679"/>
      <c r="L73" s="680"/>
      <c r="M73" s="681"/>
    </row>
    <row r="74" spans="1:13" x14ac:dyDescent="0.25">
      <c r="A74" s="249"/>
      <c r="B74" s="658"/>
      <c r="C74" s="191" t="s">
        <v>208</v>
      </c>
      <c r="D74" s="37">
        <v>0.121</v>
      </c>
      <c r="E74" s="95">
        <v>5.0200000000000002E-2</v>
      </c>
      <c r="F74" s="142">
        <f>IF('R2U_Ref'!$E$69=1,'R2U_Setup'!D74,IF('R2U_Ref'!$E$69=2,IF($E$86=0,0,'R2U_Setup'!E74/$E$86),"SELECT OPTION"))</f>
        <v>5.0200000000000002E-2</v>
      </c>
      <c r="G74" s="207"/>
      <c r="I74" s="118"/>
      <c r="K74" s="679"/>
      <c r="L74" s="680"/>
      <c r="M74" s="681"/>
    </row>
    <row r="75" spans="1:13" x14ac:dyDescent="0.25">
      <c r="A75" s="249"/>
      <c r="B75" s="658"/>
      <c r="C75" s="191" t="s">
        <v>209</v>
      </c>
      <c r="D75" s="47">
        <v>2E-3</v>
      </c>
      <c r="E75" s="98">
        <v>8.0000000000000004E-4</v>
      </c>
      <c r="F75" s="142">
        <f>IF('R2U_Ref'!$E$69=1,'R2U_Setup'!D75,IF('R2U_Ref'!$E$69=2,IF($E$86=0,0,'R2U_Setup'!E75/$E$86),"SELECT OPTION"))</f>
        <v>8.0000000000000004E-4</v>
      </c>
      <c r="G75" s="207"/>
      <c r="K75" s="682"/>
      <c r="L75" s="683"/>
      <c r="M75" s="684"/>
    </row>
    <row r="76" spans="1:13" x14ac:dyDescent="0.25">
      <c r="A76" s="249"/>
      <c r="B76" s="658"/>
      <c r="C76" s="191" t="s">
        <v>210</v>
      </c>
      <c r="D76" s="37">
        <v>3.0000000000000001E-3</v>
      </c>
      <c r="E76" s="95">
        <v>3.0000000000000001E-3</v>
      </c>
      <c r="F76" s="142">
        <f>IF('R2U_Ref'!$E$69=1,'R2U_Setup'!D76,IF('R2U_Ref'!$E$69=2,IF($E$86=0,0,'R2U_Setup'!E76/$E$86),"SELECT OPTION"))</f>
        <v>3.0000000000000001E-3</v>
      </c>
      <c r="G76" s="207"/>
    </row>
    <row r="77" spans="1:13" x14ac:dyDescent="0.25">
      <c r="A77" s="249"/>
      <c r="B77" s="658"/>
      <c r="C77" s="149" t="s">
        <v>211</v>
      </c>
      <c r="D77" s="37">
        <v>2.5000000000000001E-2</v>
      </c>
      <c r="E77" s="95">
        <v>4.6899999999999997E-2</v>
      </c>
      <c r="F77" s="142">
        <f>IF('R2U_Ref'!$E$69=1,'R2U_Setup'!D77,IF('R2U_Ref'!$E$69=2,IF($E$86=0,0,'R2U_Setup'!E77/$E$86),"SELECT OPTION"))</f>
        <v>4.6899999999999997E-2</v>
      </c>
      <c r="G77" s="207"/>
    </row>
    <row r="78" spans="1:13" x14ac:dyDescent="0.25">
      <c r="A78" s="249"/>
      <c r="B78" s="658"/>
      <c r="C78" s="149" t="s">
        <v>212</v>
      </c>
      <c r="D78" s="36">
        <v>0.52100000000000002</v>
      </c>
      <c r="E78" s="94">
        <v>0.46089999999999998</v>
      </c>
      <c r="F78" s="142">
        <f>IF('R2U_Ref'!$E$69=1,'R2U_Setup'!D78,IF('R2U_Ref'!$E$69=2,IF($E$86=0,0,'R2U_Setup'!E78/$E$86),"SELECT OPTION"))</f>
        <v>0.46089999999999998</v>
      </c>
      <c r="G78" s="207"/>
    </row>
    <row r="79" spans="1:13" x14ac:dyDescent="0.25">
      <c r="A79" s="249"/>
      <c r="B79" s="658"/>
      <c r="C79" s="151" t="s">
        <v>213</v>
      </c>
      <c r="D79" s="47">
        <v>2.1000000000000001E-2</v>
      </c>
      <c r="E79" s="94">
        <v>3.1600000000000003E-2</v>
      </c>
      <c r="F79" s="142">
        <f>IF('R2U_Ref'!$E$69=1,'R2U_Setup'!D79,IF('R2U_Ref'!$E$69=2,IF($E$86=0,0,'R2U_Setup'!E79/$E$86),"SELECT OPTION"))</f>
        <v>3.1600000000000003E-2</v>
      </c>
      <c r="G79" s="207"/>
    </row>
    <row r="80" spans="1:13" x14ac:dyDescent="0.25">
      <c r="A80" s="249"/>
      <c r="B80" s="658"/>
      <c r="C80" s="196" t="s">
        <v>220</v>
      </c>
      <c r="D80" s="197"/>
      <c r="E80" s="198"/>
      <c r="F80" s="215"/>
      <c r="G80" s="207"/>
    </row>
    <row r="81" spans="1:14" x14ac:dyDescent="0.25">
      <c r="A81" s="249"/>
      <c r="B81" s="658"/>
      <c r="C81" s="149" t="s">
        <v>214</v>
      </c>
      <c r="D81" s="36">
        <v>8.5000000000000006E-2</v>
      </c>
      <c r="E81" s="95">
        <v>0.15809999999999999</v>
      </c>
      <c r="F81" s="142">
        <f>IF('R2U_Ref'!$E$69=1,'R2U_Setup'!D81,IF('R2U_Ref'!$E$69=2,IF($E$86=0,0,'R2U_Setup'!E81/$E$86),"SELECT OPTION"))</f>
        <v>0.15809999999999999</v>
      </c>
      <c r="G81" s="207"/>
    </row>
    <row r="82" spans="1:14" x14ac:dyDescent="0.25">
      <c r="A82" s="249"/>
      <c r="B82" s="658"/>
      <c r="C82" s="192" t="s">
        <v>215</v>
      </c>
      <c r="D82" s="36">
        <v>1.6E-2</v>
      </c>
      <c r="E82" s="94">
        <v>2.4E-2</v>
      </c>
      <c r="F82" s="142">
        <f>IF('R2U_Ref'!$E$69=1,'R2U_Setup'!D82,IF('R2U_Ref'!$E$69=2,IF($E$86=0,0,'R2U_Setup'!E82/$E$86),"SELECT OPTION"))</f>
        <v>2.4E-2</v>
      </c>
      <c r="G82" s="207"/>
    </row>
    <row r="83" spans="1:14" x14ac:dyDescent="0.25">
      <c r="A83" s="249"/>
      <c r="B83" s="658"/>
      <c r="C83" s="191" t="s">
        <v>216</v>
      </c>
      <c r="D83" s="37">
        <v>0.14199999999999999</v>
      </c>
      <c r="E83" s="95">
        <v>0.15820000000000001</v>
      </c>
      <c r="F83" s="142">
        <f>IF('R2U_Ref'!$E$69=1,'R2U_Setup'!D83,IF('R2U_Ref'!$E$69=2,IF($E$86=0,0,'R2U_Setup'!E83/$E$86),"SELECT OPTION"))</f>
        <v>0.15820000000000001</v>
      </c>
      <c r="G83" s="207"/>
    </row>
    <row r="84" spans="1:14" x14ac:dyDescent="0.25">
      <c r="A84" s="249"/>
      <c r="B84" s="658"/>
      <c r="C84" s="191" t="s">
        <v>217</v>
      </c>
      <c r="D84" s="37">
        <v>3.6999999999999998E-2</v>
      </c>
      <c r="E84" s="95">
        <v>5.6000000000000001E-2</v>
      </c>
      <c r="F84" s="142">
        <f>IF('R2U_Ref'!$E$69=1,'R2U_Setup'!D84,IF('R2U_Ref'!$E$69=2,IF($E$86=0,0,'R2U_Setup'!E84/$E$86),"SELECT OPTION"))</f>
        <v>5.6000000000000001E-2</v>
      </c>
      <c r="G84" s="207"/>
    </row>
    <row r="85" spans="1:14" ht="15" customHeight="1" x14ac:dyDescent="0.25">
      <c r="A85" s="249"/>
      <c r="B85" s="658"/>
      <c r="C85" s="149" t="s">
        <v>218</v>
      </c>
      <c r="D85" s="37">
        <v>2.7E-2</v>
      </c>
      <c r="E85" s="99">
        <v>1.03E-2</v>
      </c>
      <c r="F85" s="142">
        <f>IF('R2U_Ref'!$E$69=1,'R2U_Setup'!D85,IF('R2U_Ref'!$E$69=2,IF($E$86=0,0,'R2U_Setup'!E85/$E$86),"SELECT OPTION"))</f>
        <v>1.03E-2</v>
      </c>
      <c r="G85" s="207"/>
    </row>
    <row r="86" spans="1:14" ht="15.75" customHeight="1" thickBot="1" x14ac:dyDescent="0.3">
      <c r="A86" s="249"/>
      <c r="B86" s="659"/>
      <c r="C86" s="199" t="s">
        <v>221</v>
      </c>
      <c r="D86" s="200">
        <f>SUM(D74:D79,D81:D85)</f>
        <v>1</v>
      </c>
      <c r="E86" s="201">
        <f>SUM(E74:E79,E81:E85)</f>
        <v>1</v>
      </c>
      <c r="F86" s="202">
        <f>SUM(F74:F79,F81:F85)</f>
        <v>1</v>
      </c>
      <c r="G86" s="272" t="str">
        <f>IF(AND(E86&gt;=0.95,E86&lt;=1.05),IF(AND(E86&lt;&gt;1,'R2U_Ref'!E69=2),"Crash type proportions adjusted to sum to 100%",""),IF('R2U_Ref'!E69=2,"Enter crash type proportions that sum to 100% or select HSM default values",""))</f>
        <v/>
      </c>
      <c r="H86" s="216"/>
      <c r="I86" s="216"/>
      <c r="J86" s="216"/>
      <c r="K86" s="216"/>
      <c r="L86" s="216"/>
      <c r="M86" s="216"/>
      <c r="N86" s="216"/>
    </row>
    <row r="87" spans="1:14" ht="5.0999999999999996" customHeight="1" thickTop="1" thickBot="1" x14ac:dyDescent="0.3">
      <c r="A87" s="249"/>
      <c r="B87" s="156"/>
      <c r="C87" s="208"/>
      <c r="D87" s="176"/>
      <c r="E87" s="209"/>
      <c r="F87" s="176"/>
      <c r="G87" s="273"/>
    </row>
    <row r="88" spans="1:14" ht="15.75" thickTop="1" x14ac:dyDescent="0.25">
      <c r="A88" s="249"/>
      <c r="B88" s="644" t="s">
        <v>49</v>
      </c>
      <c r="C88" s="49"/>
      <c r="D88" s="48"/>
      <c r="E88" s="50"/>
      <c r="F88" s="51"/>
      <c r="G88" s="7"/>
    </row>
    <row r="89" spans="1:14" x14ac:dyDescent="0.25">
      <c r="A89" s="249"/>
      <c r="B89" s="645"/>
      <c r="C89" s="149" t="s">
        <v>222</v>
      </c>
      <c r="D89" s="36">
        <v>1.2999999999999999E-2</v>
      </c>
      <c r="E89" s="94">
        <v>1.54E-2</v>
      </c>
      <c r="F89" s="142">
        <f>IF('R2U_Ref'!$E$73=1,'R2U_Setup'!D89,IF('R2U_Ref'!$E$73=2,IF($E$94=0,0,'R2U_Setup'!E89/$E$94),"SELECT OPTION"))</f>
        <v>1.54E-2</v>
      </c>
      <c r="G89" s="207"/>
    </row>
    <row r="90" spans="1:14" x14ac:dyDescent="0.25">
      <c r="A90" s="249"/>
      <c r="B90" s="645"/>
      <c r="C90" s="149" t="s">
        <v>223</v>
      </c>
      <c r="D90" s="37">
        <v>5.3999999999999999E-2</v>
      </c>
      <c r="E90" s="95">
        <v>9.1700000000000004E-2</v>
      </c>
      <c r="F90" s="142">
        <f>IF('R2U_Ref'!$E$73=1,'R2U_Setup'!D90,IF('R2U_Ref'!$E$73=2,IF($E$94=0,0,'R2U_Setup'!E90/$E$94),"SELECT OPTION"))</f>
        <v>9.1700000000000004E-2</v>
      </c>
      <c r="G90" s="207"/>
    </row>
    <row r="91" spans="1:14" x14ac:dyDescent="0.25">
      <c r="A91" s="249"/>
      <c r="B91" s="645"/>
      <c r="C91" s="149" t="s">
        <v>224</v>
      </c>
      <c r="D91" s="37">
        <v>0.109</v>
      </c>
      <c r="E91" s="95">
        <v>0.1381</v>
      </c>
      <c r="F91" s="142">
        <f>IF('R2U_Ref'!$E$73=1,'R2U_Setup'!D91,IF('R2U_Ref'!$E$73=2,IF($E$94=0,0,'R2U_Setup'!E91/$E$94),"SELECT OPTION"))</f>
        <v>0.1381</v>
      </c>
      <c r="G91" s="207"/>
    </row>
    <row r="92" spans="1:14" x14ac:dyDescent="0.25">
      <c r="A92" s="249"/>
      <c r="B92" s="645"/>
      <c r="C92" s="149" t="s">
        <v>225</v>
      </c>
      <c r="D92" s="37">
        <v>0.14499999999999999</v>
      </c>
      <c r="E92" s="95">
        <v>6.4399999999999999E-2</v>
      </c>
      <c r="F92" s="142">
        <f>IF('R2U_Ref'!$E$73=1,'R2U_Setup'!D92,IF('R2U_Ref'!$E$73=2,IF($E$94=0,0,'R2U_Setup'!E92/$E$94),"SELECT OPTION"))</f>
        <v>6.4399999999999999E-2</v>
      </c>
      <c r="G92" s="207"/>
    </row>
    <row r="93" spans="1:14" x14ac:dyDescent="0.25">
      <c r="A93" s="249"/>
      <c r="B93" s="645"/>
      <c r="C93" s="149" t="s">
        <v>226</v>
      </c>
      <c r="D93" s="37">
        <v>0.67900000000000005</v>
      </c>
      <c r="E93" s="95">
        <v>0.69040000000000001</v>
      </c>
      <c r="F93" s="142">
        <f>IF('R2U_Ref'!$E$73=1,'R2U_Setup'!D93,IF('R2U_Ref'!$E$73=2,IF($E$94=0,0,'R2U_Setup'!E93/$E$94),"SELECT OPTION"))</f>
        <v>0.69040000000000001</v>
      </c>
      <c r="G93" s="207"/>
    </row>
    <row r="94" spans="1:14" ht="15.75" thickBot="1" x14ac:dyDescent="0.3">
      <c r="A94" s="249"/>
      <c r="B94" s="646"/>
      <c r="C94" s="199" t="s">
        <v>221</v>
      </c>
      <c r="D94" s="203">
        <f>SUM(D89:D93)</f>
        <v>1</v>
      </c>
      <c r="E94" s="201">
        <f>SUM(E89:E93)</f>
        <v>1</v>
      </c>
      <c r="F94" s="204">
        <f>SUM(F89:F93)</f>
        <v>1</v>
      </c>
      <c r="G94" s="274" t="str">
        <f>IF(AND(E94&gt;=0.95,E94&lt;=1.05),IF(AND(E94&lt;&gt;1,'R2U_Ref'!E73=2),"Crash severity proportions adjusted to sum to 100%",""),IF('R2U_Ref'!E73=2,"Enter crash severity proportions that sum to 100% or select HSM default values",""))</f>
        <v/>
      </c>
      <c r="H94" s="217"/>
      <c r="I94" s="217"/>
      <c r="J94" s="217"/>
      <c r="K94" s="217"/>
      <c r="L94" s="217"/>
      <c r="M94" s="217"/>
      <c r="N94" s="217"/>
    </row>
    <row r="95" spans="1:14" ht="15.75" thickTop="1" x14ac:dyDescent="0.25">
      <c r="A95" s="207"/>
      <c r="B95" s="207"/>
      <c r="C95" s="207"/>
      <c r="D95" s="207"/>
      <c r="E95" s="207"/>
      <c r="F95" s="207"/>
      <c r="G95" s="207"/>
    </row>
    <row r="118" spans="2:3" x14ac:dyDescent="0.25">
      <c r="B118" t="s">
        <v>334</v>
      </c>
      <c r="C118">
        <f>'R2U_Ref'!E67</f>
        <v>1</v>
      </c>
    </row>
    <row r="119" spans="2:3" x14ac:dyDescent="0.25">
      <c r="B119" t="s">
        <v>335</v>
      </c>
      <c r="C119">
        <f>'R2U_Ref'!E69</f>
        <v>2</v>
      </c>
    </row>
    <row r="120" spans="2:3" x14ac:dyDescent="0.25">
      <c r="B120" t="s">
        <v>336</v>
      </c>
      <c r="C120">
        <f>'R2U_Ref'!E73</f>
        <v>2</v>
      </c>
    </row>
  </sheetData>
  <mergeCells count="26">
    <mergeCell ref="B22:C22"/>
    <mergeCell ref="B3:C3"/>
    <mergeCell ref="B21:C21"/>
    <mergeCell ref="B66:C66"/>
    <mergeCell ref="K66:M75"/>
    <mergeCell ref="H68:H69"/>
    <mergeCell ref="H70:H71"/>
    <mergeCell ref="I68:I69"/>
    <mergeCell ref="I70:I71"/>
    <mergeCell ref="H66:I66"/>
    <mergeCell ref="B88:B94"/>
    <mergeCell ref="D2:E2"/>
    <mergeCell ref="H67:I67"/>
    <mergeCell ref="B4:C4"/>
    <mergeCell ref="B67:C67"/>
    <mergeCell ref="B45:B48"/>
    <mergeCell ref="B59:B63"/>
    <mergeCell ref="B18:C18"/>
    <mergeCell ref="B72:B86"/>
    <mergeCell ref="B5:B7"/>
    <mergeCell ref="B9:B10"/>
    <mergeCell ref="B12:B13"/>
    <mergeCell ref="B15:B16"/>
    <mergeCell ref="D52:D54"/>
    <mergeCell ref="F52:F54"/>
    <mergeCell ref="B52:B57"/>
  </mergeCells>
  <conditionalFormatting sqref="G86">
    <cfRule type="expression" dxfId="702" priority="6">
      <formula>AND($E$86&gt;=0.95,$E$86&lt;=1.05,$C$119=2)</formula>
    </cfRule>
  </conditionalFormatting>
  <conditionalFormatting sqref="H66:M75">
    <cfRule type="expression" dxfId="701" priority="8">
      <formula>$C$118=1</formula>
    </cfRule>
  </conditionalFormatting>
  <conditionalFormatting sqref="E86">
    <cfRule type="expression" dxfId="700" priority="7">
      <formula>AND(OR($E$86&lt;0.95,$E$86&gt;1.05),$C$119=2)</formula>
    </cfRule>
  </conditionalFormatting>
  <conditionalFormatting sqref="G86:N86">
    <cfRule type="expression" dxfId="699" priority="5">
      <formula>AND(OR($E$86&lt;0.95,$E$86&gt;1.05),$C$119=2)</formula>
    </cfRule>
  </conditionalFormatting>
  <conditionalFormatting sqref="E94">
    <cfRule type="expression" dxfId="698" priority="4">
      <formula>AND(OR($E$94&lt;0.95,$E$94&gt;1.05),$C$120=2)</formula>
    </cfRule>
  </conditionalFormatting>
  <conditionalFormatting sqref="G94:N94">
    <cfRule type="expression" dxfId="697" priority="2">
      <formula>AND($E$94&gt;=0.95,$E$94&lt;=1.05,$C$120=2)</formula>
    </cfRule>
    <cfRule type="expression" dxfId="696" priority="3">
      <formula>AND(OR($E$94&lt;0.95,$E$94&gt;1.05),$C$120=2)</formula>
    </cfRule>
  </conditionalFormatting>
  <conditionalFormatting sqref="H66:I66">
    <cfRule type="expression" dxfId="695" priority="1">
      <formula>$C$118=1</formula>
    </cfRule>
  </conditionalFormatting>
  <pageMargins left="0.7" right="0.7" top="0.75" bottom="0.75" header="0.3" footer="0.3"/>
  <pageSetup scale="38" orientation="portrait" r:id="rId1"/>
  <ignoredErrors>
    <ignoredError sqref="I7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5" r:id="rId4" name="Group Box 3">
              <controlPr defaultSize="0" autoFill="0" autoPict="0">
                <anchor moveWithCells="1">
                  <from>
                    <xdr:col>3</xdr:col>
                    <xdr:colOff>9525</xdr:colOff>
                    <xdr:row>22</xdr:row>
                    <xdr:rowOff>9525</xdr:rowOff>
                  </from>
                  <to>
                    <xdr:col>5</xdr:col>
                    <xdr:colOff>0</xdr:colOff>
                    <xdr:row>23</xdr:row>
                    <xdr:rowOff>0</xdr:rowOff>
                  </to>
                </anchor>
              </controlPr>
            </control>
          </mc:Choice>
        </mc:AlternateContent>
        <mc:AlternateContent xmlns:mc="http://schemas.openxmlformats.org/markup-compatibility/2006">
          <mc:Choice Requires="x14">
            <control shapeId="3076" r:id="rId5" name="Option Button 4">
              <controlPr defaultSize="0" autoFill="0" autoLine="0" autoPict="0">
                <anchor moveWithCells="1">
                  <from>
                    <xdr:col>3</xdr:col>
                    <xdr:colOff>752475</xdr:colOff>
                    <xdr:row>22</xdr:row>
                    <xdr:rowOff>47625</xdr:rowOff>
                  </from>
                  <to>
                    <xdr:col>3</xdr:col>
                    <xdr:colOff>933450</xdr:colOff>
                    <xdr:row>22</xdr:row>
                    <xdr:rowOff>190500</xdr:rowOff>
                  </to>
                </anchor>
              </controlPr>
            </control>
          </mc:Choice>
        </mc:AlternateContent>
        <mc:AlternateContent xmlns:mc="http://schemas.openxmlformats.org/markup-compatibility/2006">
          <mc:Choice Requires="x14">
            <control shapeId="3077" r:id="rId6" name="Option Button 5">
              <controlPr defaultSize="0" autoFill="0" autoLine="0" autoPict="0">
                <anchor moveWithCells="1">
                  <from>
                    <xdr:col>4</xdr:col>
                    <xdr:colOff>695325</xdr:colOff>
                    <xdr:row>22</xdr:row>
                    <xdr:rowOff>38100</xdr:rowOff>
                  </from>
                  <to>
                    <xdr:col>4</xdr:col>
                    <xdr:colOff>904875</xdr:colOff>
                    <xdr:row>23</xdr:row>
                    <xdr:rowOff>0</xdr:rowOff>
                  </to>
                </anchor>
              </controlPr>
            </control>
          </mc:Choice>
        </mc:AlternateContent>
        <mc:AlternateContent xmlns:mc="http://schemas.openxmlformats.org/markup-compatibility/2006">
          <mc:Choice Requires="x14">
            <control shapeId="3078" r:id="rId7" name="Group Box 6">
              <controlPr defaultSize="0" autoFill="0" autoPict="0">
                <anchor moveWithCells="1">
                  <from>
                    <xdr:col>3</xdr:col>
                    <xdr:colOff>9525</xdr:colOff>
                    <xdr:row>24</xdr:row>
                    <xdr:rowOff>9525</xdr:rowOff>
                  </from>
                  <to>
                    <xdr:col>5</xdr:col>
                    <xdr:colOff>0</xdr:colOff>
                    <xdr:row>25</xdr:row>
                    <xdr:rowOff>0</xdr:rowOff>
                  </to>
                </anchor>
              </controlPr>
            </control>
          </mc:Choice>
        </mc:AlternateContent>
        <mc:AlternateContent xmlns:mc="http://schemas.openxmlformats.org/markup-compatibility/2006">
          <mc:Choice Requires="x14">
            <control shapeId="3079" r:id="rId8" name="Option Button 7">
              <controlPr defaultSize="0" autoFill="0" autoLine="0" autoPict="0">
                <anchor moveWithCells="1">
                  <from>
                    <xdr:col>3</xdr:col>
                    <xdr:colOff>752475</xdr:colOff>
                    <xdr:row>24</xdr:row>
                    <xdr:rowOff>19050</xdr:rowOff>
                  </from>
                  <to>
                    <xdr:col>4</xdr:col>
                    <xdr:colOff>0</xdr:colOff>
                    <xdr:row>25</xdr:row>
                    <xdr:rowOff>0</xdr:rowOff>
                  </to>
                </anchor>
              </controlPr>
            </control>
          </mc:Choice>
        </mc:AlternateContent>
        <mc:AlternateContent xmlns:mc="http://schemas.openxmlformats.org/markup-compatibility/2006">
          <mc:Choice Requires="x14">
            <control shapeId="3080" r:id="rId9" name="Option Button 8">
              <controlPr defaultSize="0" autoFill="0" autoLine="0" autoPict="0">
                <anchor moveWithCells="1">
                  <from>
                    <xdr:col>4</xdr:col>
                    <xdr:colOff>695325</xdr:colOff>
                    <xdr:row>24</xdr:row>
                    <xdr:rowOff>19050</xdr:rowOff>
                  </from>
                  <to>
                    <xdr:col>4</xdr:col>
                    <xdr:colOff>914400</xdr:colOff>
                    <xdr:row>25</xdr:row>
                    <xdr:rowOff>0</xdr:rowOff>
                  </to>
                </anchor>
              </controlPr>
            </control>
          </mc:Choice>
        </mc:AlternateContent>
        <mc:AlternateContent xmlns:mc="http://schemas.openxmlformats.org/markup-compatibility/2006">
          <mc:Choice Requires="x14">
            <control shapeId="3081" r:id="rId10" name="Group Box 9">
              <controlPr defaultSize="0" autoFill="0" autoPict="0">
                <anchor moveWithCells="1">
                  <from>
                    <xdr:col>3</xdr:col>
                    <xdr:colOff>9525</xdr:colOff>
                    <xdr:row>67</xdr:row>
                    <xdr:rowOff>9525</xdr:rowOff>
                  </from>
                  <to>
                    <xdr:col>5</xdr:col>
                    <xdr:colOff>0</xdr:colOff>
                    <xdr:row>68</xdr:row>
                    <xdr:rowOff>0</xdr:rowOff>
                  </to>
                </anchor>
              </controlPr>
            </control>
          </mc:Choice>
        </mc:AlternateContent>
        <mc:AlternateContent xmlns:mc="http://schemas.openxmlformats.org/markup-compatibility/2006">
          <mc:Choice Requires="x14">
            <control shapeId="3082" r:id="rId11" name="Option Button 10">
              <controlPr defaultSize="0" autoFill="0" autoLine="0" autoPict="0">
                <anchor moveWithCells="1">
                  <from>
                    <xdr:col>3</xdr:col>
                    <xdr:colOff>714375</xdr:colOff>
                    <xdr:row>67</xdr:row>
                    <xdr:rowOff>38100</xdr:rowOff>
                  </from>
                  <to>
                    <xdr:col>3</xdr:col>
                    <xdr:colOff>914400</xdr:colOff>
                    <xdr:row>68</xdr:row>
                    <xdr:rowOff>0</xdr:rowOff>
                  </to>
                </anchor>
              </controlPr>
            </control>
          </mc:Choice>
        </mc:AlternateContent>
        <mc:AlternateContent xmlns:mc="http://schemas.openxmlformats.org/markup-compatibility/2006">
          <mc:Choice Requires="x14">
            <control shapeId="3083" r:id="rId12" name="Option Button 11">
              <controlPr defaultSize="0" autoFill="0" autoLine="0" autoPict="0">
                <anchor moveWithCells="1">
                  <from>
                    <xdr:col>4</xdr:col>
                    <xdr:colOff>714375</xdr:colOff>
                    <xdr:row>67</xdr:row>
                    <xdr:rowOff>38100</xdr:rowOff>
                  </from>
                  <to>
                    <xdr:col>4</xdr:col>
                    <xdr:colOff>895350</xdr:colOff>
                    <xdr:row>68</xdr:row>
                    <xdr:rowOff>0</xdr:rowOff>
                  </to>
                </anchor>
              </controlPr>
            </control>
          </mc:Choice>
        </mc:AlternateContent>
        <mc:AlternateContent xmlns:mc="http://schemas.openxmlformats.org/markup-compatibility/2006">
          <mc:Choice Requires="x14">
            <control shapeId="3087" r:id="rId13" name="Group Box 15">
              <controlPr defaultSize="0" autoFill="0" autoPict="0">
                <anchor moveWithCells="1">
                  <from>
                    <xdr:col>2</xdr:col>
                    <xdr:colOff>1752600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3088" r:id="rId14" name="Option Button 16">
              <controlPr defaultSize="0" autoFill="0" autoLine="0" autoPict="0">
                <anchor moveWithCells="1">
                  <from>
                    <xdr:col>3</xdr:col>
                    <xdr:colOff>733425</xdr:colOff>
                    <xdr:row>8</xdr:row>
                    <xdr:rowOff>38100</xdr:rowOff>
                  </from>
                  <to>
                    <xdr:col>3</xdr:col>
                    <xdr:colOff>895350</xdr:colOff>
                    <xdr:row>9</xdr:row>
                    <xdr:rowOff>0</xdr:rowOff>
                  </to>
                </anchor>
              </controlPr>
            </control>
          </mc:Choice>
        </mc:AlternateContent>
        <mc:AlternateContent xmlns:mc="http://schemas.openxmlformats.org/markup-compatibility/2006">
          <mc:Choice Requires="x14">
            <control shapeId="3089" r:id="rId15" name="Option Button 17">
              <controlPr defaultSize="0" autoFill="0" autoLine="0" autoPict="0">
                <anchor moveWithCells="1">
                  <from>
                    <xdr:col>4</xdr:col>
                    <xdr:colOff>704850</xdr:colOff>
                    <xdr:row>8</xdr:row>
                    <xdr:rowOff>38100</xdr:rowOff>
                  </from>
                  <to>
                    <xdr:col>4</xdr:col>
                    <xdr:colOff>876300</xdr:colOff>
                    <xdr:row>9</xdr:row>
                    <xdr:rowOff>0</xdr:rowOff>
                  </to>
                </anchor>
              </controlPr>
            </control>
          </mc:Choice>
        </mc:AlternateContent>
        <mc:AlternateContent xmlns:mc="http://schemas.openxmlformats.org/markup-compatibility/2006">
          <mc:Choice Requires="x14">
            <control shapeId="3092" r:id="rId16" name="Group Box 20">
              <controlPr defaultSize="0" autoFill="0" autoPict="0">
                <anchor moveWithCells="1">
                  <from>
                    <xdr:col>3</xdr:col>
                    <xdr:colOff>0</xdr:colOff>
                    <xdr:row>9</xdr:row>
                    <xdr:rowOff>9525</xdr:rowOff>
                  </from>
                  <to>
                    <xdr:col>5</xdr:col>
                    <xdr:colOff>0</xdr:colOff>
                    <xdr:row>9</xdr:row>
                    <xdr:rowOff>238125</xdr:rowOff>
                  </to>
                </anchor>
              </controlPr>
            </control>
          </mc:Choice>
        </mc:AlternateContent>
        <mc:AlternateContent xmlns:mc="http://schemas.openxmlformats.org/markup-compatibility/2006">
          <mc:Choice Requires="x14">
            <control shapeId="3093" r:id="rId17" name="Option Button 21">
              <controlPr defaultSize="0" autoFill="0" autoLine="0" autoPict="0">
                <anchor moveWithCells="1">
                  <from>
                    <xdr:col>3</xdr:col>
                    <xdr:colOff>742950</xdr:colOff>
                    <xdr:row>9</xdr:row>
                    <xdr:rowOff>57150</xdr:rowOff>
                  </from>
                  <to>
                    <xdr:col>3</xdr:col>
                    <xdr:colOff>933450</xdr:colOff>
                    <xdr:row>9</xdr:row>
                    <xdr:rowOff>209550</xdr:rowOff>
                  </to>
                </anchor>
              </controlPr>
            </control>
          </mc:Choice>
        </mc:AlternateContent>
        <mc:AlternateContent xmlns:mc="http://schemas.openxmlformats.org/markup-compatibility/2006">
          <mc:Choice Requires="x14">
            <control shapeId="3094" r:id="rId18" name="Option Button 22">
              <controlPr defaultSize="0" autoFill="0" autoLine="0" autoPict="0">
                <anchor moveWithCells="1">
                  <from>
                    <xdr:col>4</xdr:col>
                    <xdr:colOff>704850</xdr:colOff>
                    <xdr:row>9</xdr:row>
                    <xdr:rowOff>38100</xdr:rowOff>
                  </from>
                  <to>
                    <xdr:col>4</xdr:col>
                    <xdr:colOff>914400</xdr:colOff>
                    <xdr:row>9</xdr:row>
                    <xdr:rowOff>200025</xdr:rowOff>
                  </to>
                </anchor>
              </controlPr>
            </control>
          </mc:Choice>
        </mc:AlternateContent>
        <mc:AlternateContent xmlns:mc="http://schemas.openxmlformats.org/markup-compatibility/2006">
          <mc:Choice Requires="x14">
            <control shapeId="3095" r:id="rId19" name="Group Box 23">
              <controlPr defaultSize="0" autoFill="0" autoPict="0">
                <anchor moveWithCells="1">
                  <from>
                    <xdr:col>2</xdr:col>
                    <xdr:colOff>1752600</xdr:colOff>
                    <xdr:row>11</xdr:row>
                    <xdr:rowOff>9525</xdr:rowOff>
                  </from>
                  <to>
                    <xdr:col>5</xdr:col>
                    <xdr:colOff>0</xdr:colOff>
                    <xdr:row>12</xdr:row>
                    <xdr:rowOff>0</xdr:rowOff>
                  </to>
                </anchor>
              </controlPr>
            </control>
          </mc:Choice>
        </mc:AlternateContent>
        <mc:AlternateContent xmlns:mc="http://schemas.openxmlformats.org/markup-compatibility/2006">
          <mc:Choice Requires="x14">
            <control shapeId="3096" r:id="rId20" name="Option Button 24">
              <controlPr defaultSize="0" autoFill="0" autoLine="0" autoPict="0">
                <anchor moveWithCells="1">
                  <from>
                    <xdr:col>3</xdr:col>
                    <xdr:colOff>742950</xdr:colOff>
                    <xdr:row>11</xdr:row>
                    <xdr:rowOff>47625</xdr:rowOff>
                  </from>
                  <to>
                    <xdr:col>3</xdr:col>
                    <xdr:colOff>914400</xdr:colOff>
                    <xdr:row>12</xdr:row>
                    <xdr:rowOff>0</xdr:rowOff>
                  </to>
                </anchor>
              </controlPr>
            </control>
          </mc:Choice>
        </mc:AlternateContent>
        <mc:AlternateContent xmlns:mc="http://schemas.openxmlformats.org/markup-compatibility/2006">
          <mc:Choice Requires="x14">
            <control shapeId="3097" r:id="rId21" name="Option Button 25">
              <controlPr defaultSize="0" autoFill="0" autoLine="0" autoPict="0">
                <anchor moveWithCells="1">
                  <from>
                    <xdr:col>4</xdr:col>
                    <xdr:colOff>704850</xdr:colOff>
                    <xdr:row>11</xdr:row>
                    <xdr:rowOff>57150</xdr:rowOff>
                  </from>
                  <to>
                    <xdr:col>4</xdr:col>
                    <xdr:colOff>895350</xdr:colOff>
                    <xdr:row>12</xdr:row>
                    <xdr:rowOff>0</xdr:rowOff>
                  </to>
                </anchor>
              </controlPr>
            </control>
          </mc:Choice>
        </mc:AlternateContent>
        <mc:AlternateContent xmlns:mc="http://schemas.openxmlformats.org/markup-compatibility/2006">
          <mc:Choice Requires="x14">
            <control shapeId="3098" r:id="rId22" name="Group Box 26">
              <controlPr defaultSize="0" autoFill="0" autoPict="0">
                <anchor moveWithCells="1">
                  <from>
                    <xdr:col>3</xdr:col>
                    <xdr:colOff>9525</xdr:colOff>
                    <xdr:row>12</xdr:row>
                    <xdr:rowOff>9525</xdr:rowOff>
                  </from>
                  <to>
                    <xdr:col>5</xdr:col>
                    <xdr:colOff>0</xdr:colOff>
                    <xdr:row>12</xdr:row>
                    <xdr:rowOff>228600</xdr:rowOff>
                  </to>
                </anchor>
              </controlPr>
            </control>
          </mc:Choice>
        </mc:AlternateContent>
        <mc:AlternateContent xmlns:mc="http://schemas.openxmlformats.org/markup-compatibility/2006">
          <mc:Choice Requires="x14">
            <control shapeId="3099" r:id="rId23" name="Option Button 27">
              <controlPr defaultSize="0" autoFill="0" autoLine="0" autoPict="0">
                <anchor moveWithCells="1">
                  <from>
                    <xdr:col>3</xdr:col>
                    <xdr:colOff>752475</xdr:colOff>
                    <xdr:row>12</xdr:row>
                    <xdr:rowOff>38100</xdr:rowOff>
                  </from>
                  <to>
                    <xdr:col>3</xdr:col>
                    <xdr:colOff>933450</xdr:colOff>
                    <xdr:row>12</xdr:row>
                    <xdr:rowOff>190500</xdr:rowOff>
                  </to>
                </anchor>
              </controlPr>
            </control>
          </mc:Choice>
        </mc:AlternateContent>
        <mc:AlternateContent xmlns:mc="http://schemas.openxmlformats.org/markup-compatibility/2006">
          <mc:Choice Requires="x14">
            <control shapeId="3100" r:id="rId24" name="Option Button 28">
              <controlPr defaultSize="0" autoFill="0" autoLine="0" autoPict="0">
                <anchor moveWithCells="1">
                  <from>
                    <xdr:col>4</xdr:col>
                    <xdr:colOff>704850</xdr:colOff>
                    <xdr:row>12</xdr:row>
                    <xdr:rowOff>38100</xdr:rowOff>
                  </from>
                  <to>
                    <xdr:col>4</xdr:col>
                    <xdr:colOff>885825</xdr:colOff>
                    <xdr:row>12</xdr:row>
                    <xdr:rowOff>200025</xdr:rowOff>
                  </to>
                </anchor>
              </controlPr>
            </control>
          </mc:Choice>
        </mc:AlternateContent>
        <mc:AlternateContent xmlns:mc="http://schemas.openxmlformats.org/markup-compatibility/2006">
          <mc:Choice Requires="x14">
            <control shapeId="3101" r:id="rId25" name="Group Box 29">
              <controlPr defaultSize="0" autoFill="0" autoPict="0">
                <anchor moveWithCells="1">
                  <from>
                    <xdr:col>3</xdr:col>
                    <xdr:colOff>9525</xdr:colOff>
                    <xdr:row>14</xdr:row>
                    <xdr:rowOff>9525</xdr:rowOff>
                  </from>
                  <to>
                    <xdr:col>5</xdr:col>
                    <xdr:colOff>0</xdr:colOff>
                    <xdr:row>15</xdr:row>
                    <xdr:rowOff>0</xdr:rowOff>
                  </to>
                </anchor>
              </controlPr>
            </control>
          </mc:Choice>
        </mc:AlternateContent>
        <mc:AlternateContent xmlns:mc="http://schemas.openxmlformats.org/markup-compatibility/2006">
          <mc:Choice Requires="x14">
            <control shapeId="3102" r:id="rId26" name="Option Button 30">
              <controlPr defaultSize="0" autoFill="0" autoLine="0" autoPict="0">
                <anchor moveWithCells="1">
                  <from>
                    <xdr:col>3</xdr:col>
                    <xdr:colOff>752475</xdr:colOff>
                    <xdr:row>14</xdr:row>
                    <xdr:rowOff>38100</xdr:rowOff>
                  </from>
                  <to>
                    <xdr:col>3</xdr:col>
                    <xdr:colOff>942975</xdr:colOff>
                    <xdr:row>15</xdr:row>
                    <xdr:rowOff>0</xdr:rowOff>
                  </to>
                </anchor>
              </controlPr>
            </control>
          </mc:Choice>
        </mc:AlternateContent>
        <mc:AlternateContent xmlns:mc="http://schemas.openxmlformats.org/markup-compatibility/2006">
          <mc:Choice Requires="x14">
            <control shapeId="3103" r:id="rId27" name="Option Button 31">
              <controlPr defaultSize="0" autoFill="0" autoLine="0" autoPict="0">
                <anchor moveWithCells="1">
                  <from>
                    <xdr:col>4</xdr:col>
                    <xdr:colOff>704850</xdr:colOff>
                    <xdr:row>14</xdr:row>
                    <xdr:rowOff>28575</xdr:rowOff>
                  </from>
                  <to>
                    <xdr:col>4</xdr:col>
                    <xdr:colOff>876300</xdr:colOff>
                    <xdr:row>15</xdr:row>
                    <xdr:rowOff>0</xdr:rowOff>
                  </to>
                </anchor>
              </controlPr>
            </control>
          </mc:Choice>
        </mc:AlternateContent>
        <mc:AlternateContent xmlns:mc="http://schemas.openxmlformats.org/markup-compatibility/2006">
          <mc:Choice Requires="x14">
            <control shapeId="3104" r:id="rId28" name="Group Box 32">
              <controlPr defaultSize="0" autoFill="0" autoPict="0">
                <anchor moveWithCells="1">
                  <from>
                    <xdr:col>3</xdr:col>
                    <xdr:colOff>0</xdr:colOff>
                    <xdr:row>15</xdr:row>
                    <xdr:rowOff>9525</xdr:rowOff>
                  </from>
                  <to>
                    <xdr:col>5</xdr:col>
                    <xdr:colOff>0</xdr:colOff>
                    <xdr:row>15</xdr:row>
                    <xdr:rowOff>238125</xdr:rowOff>
                  </to>
                </anchor>
              </controlPr>
            </control>
          </mc:Choice>
        </mc:AlternateContent>
        <mc:AlternateContent xmlns:mc="http://schemas.openxmlformats.org/markup-compatibility/2006">
          <mc:Choice Requires="x14">
            <control shapeId="3105" r:id="rId29" name="Option Button 33">
              <controlPr defaultSize="0" autoFill="0" autoLine="0" autoPict="0">
                <anchor moveWithCells="1">
                  <from>
                    <xdr:col>3</xdr:col>
                    <xdr:colOff>742950</xdr:colOff>
                    <xdr:row>15</xdr:row>
                    <xdr:rowOff>47625</xdr:rowOff>
                  </from>
                  <to>
                    <xdr:col>3</xdr:col>
                    <xdr:colOff>923925</xdr:colOff>
                    <xdr:row>15</xdr:row>
                    <xdr:rowOff>200025</xdr:rowOff>
                  </to>
                </anchor>
              </controlPr>
            </control>
          </mc:Choice>
        </mc:AlternateContent>
        <mc:AlternateContent xmlns:mc="http://schemas.openxmlformats.org/markup-compatibility/2006">
          <mc:Choice Requires="x14">
            <control shapeId="3106" r:id="rId30" name="Option Button 34">
              <controlPr defaultSize="0" autoFill="0" autoLine="0" autoPict="0">
                <anchor moveWithCells="1">
                  <from>
                    <xdr:col>4</xdr:col>
                    <xdr:colOff>695325</xdr:colOff>
                    <xdr:row>15</xdr:row>
                    <xdr:rowOff>38100</xdr:rowOff>
                  </from>
                  <to>
                    <xdr:col>4</xdr:col>
                    <xdr:colOff>876300</xdr:colOff>
                    <xdr:row>15</xdr:row>
                    <xdr:rowOff>200025</xdr:rowOff>
                  </to>
                </anchor>
              </controlPr>
            </control>
          </mc:Choice>
        </mc:AlternateContent>
        <mc:AlternateContent xmlns:mc="http://schemas.openxmlformats.org/markup-compatibility/2006">
          <mc:Choice Requires="x14">
            <control shapeId="3107" r:id="rId31" name="Group Box 35">
              <controlPr defaultSize="0" autoFill="0" autoPict="0">
                <anchor moveWithCells="1">
                  <from>
                    <xdr:col>3</xdr:col>
                    <xdr:colOff>9525</xdr:colOff>
                    <xdr:row>26</xdr:row>
                    <xdr:rowOff>9525</xdr:rowOff>
                  </from>
                  <to>
                    <xdr:col>5</xdr:col>
                    <xdr:colOff>0</xdr:colOff>
                    <xdr:row>27</xdr:row>
                    <xdr:rowOff>0</xdr:rowOff>
                  </to>
                </anchor>
              </controlPr>
            </control>
          </mc:Choice>
        </mc:AlternateContent>
        <mc:AlternateContent xmlns:mc="http://schemas.openxmlformats.org/markup-compatibility/2006">
          <mc:Choice Requires="x14">
            <control shapeId="3108" r:id="rId32" name="Option Button 36">
              <controlPr defaultSize="0" autoFill="0" autoLine="0" autoPict="0">
                <anchor moveWithCells="1">
                  <from>
                    <xdr:col>3</xdr:col>
                    <xdr:colOff>742950</xdr:colOff>
                    <xdr:row>26</xdr:row>
                    <xdr:rowOff>57150</xdr:rowOff>
                  </from>
                  <to>
                    <xdr:col>3</xdr:col>
                    <xdr:colOff>933450</xdr:colOff>
                    <xdr:row>27</xdr:row>
                    <xdr:rowOff>0</xdr:rowOff>
                  </to>
                </anchor>
              </controlPr>
            </control>
          </mc:Choice>
        </mc:AlternateContent>
        <mc:AlternateContent xmlns:mc="http://schemas.openxmlformats.org/markup-compatibility/2006">
          <mc:Choice Requires="x14">
            <control shapeId="3109" r:id="rId33" name="Option Button 37">
              <controlPr defaultSize="0" autoFill="0" autoLine="0" autoPict="0">
                <anchor moveWithCells="1">
                  <from>
                    <xdr:col>4</xdr:col>
                    <xdr:colOff>695325</xdr:colOff>
                    <xdr:row>26</xdr:row>
                    <xdr:rowOff>57150</xdr:rowOff>
                  </from>
                  <to>
                    <xdr:col>4</xdr:col>
                    <xdr:colOff>876300</xdr:colOff>
                    <xdr:row>27</xdr:row>
                    <xdr:rowOff>0</xdr:rowOff>
                  </to>
                </anchor>
              </controlPr>
            </control>
          </mc:Choice>
        </mc:AlternateContent>
        <mc:AlternateContent xmlns:mc="http://schemas.openxmlformats.org/markup-compatibility/2006">
          <mc:Choice Requires="x14">
            <control shapeId="3110" r:id="rId34" name="Group Box 38">
              <controlPr defaultSize="0" autoFill="0" autoPict="0">
                <anchor moveWithCells="1">
                  <from>
                    <xdr:col>3</xdr:col>
                    <xdr:colOff>9525</xdr:colOff>
                    <xdr:row>28</xdr:row>
                    <xdr:rowOff>19050</xdr:rowOff>
                  </from>
                  <to>
                    <xdr:col>5</xdr:col>
                    <xdr:colOff>0</xdr:colOff>
                    <xdr:row>28</xdr:row>
                    <xdr:rowOff>371475</xdr:rowOff>
                  </to>
                </anchor>
              </controlPr>
            </control>
          </mc:Choice>
        </mc:AlternateContent>
        <mc:AlternateContent xmlns:mc="http://schemas.openxmlformats.org/markup-compatibility/2006">
          <mc:Choice Requires="x14">
            <control shapeId="3111" r:id="rId35" name="Option Button 39">
              <controlPr defaultSize="0" autoFill="0" autoLine="0" autoPict="0">
                <anchor moveWithCells="1">
                  <from>
                    <xdr:col>3</xdr:col>
                    <xdr:colOff>723900</xdr:colOff>
                    <xdr:row>28</xdr:row>
                    <xdr:rowOff>104775</xdr:rowOff>
                  </from>
                  <to>
                    <xdr:col>3</xdr:col>
                    <xdr:colOff>914400</xdr:colOff>
                    <xdr:row>29</xdr:row>
                    <xdr:rowOff>0</xdr:rowOff>
                  </to>
                </anchor>
              </controlPr>
            </control>
          </mc:Choice>
        </mc:AlternateContent>
        <mc:AlternateContent xmlns:mc="http://schemas.openxmlformats.org/markup-compatibility/2006">
          <mc:Choice Requires="x14">
            <control shapeId="3112" r:id="rId36" name="Option Button 40">
              <controlPr defaultSize="0" autoFill="0" autoLine="0" autoPict="0">
                <anchor moveWithCells="1">
                  <from>
                    <xdr:col>4</xdr:col>
                    <xdr:colOff>695325</xdr:colOff>
                    <xdr:row>28</xdr:row>
                    <xdr:rowOff>104775</xdr:rowOff>
                  </from>
                  <to>
                    <xdr:col>4</xdr:col>
                    <xdr:colOff>885825</xdr:colOff>
                    <xdr:row>29</xdr:row>
                    <xdr:rowOff>0</xdr:rowOff>
                  </to>
                </anchor>
              </controlPr>
            </control>
          </mc:Choice>
        </mc:AlternateContent>
        <mc:AlternateContent xmlns:mc="http://schemas.openxmlformats.org/markup-compatibility/2006">
          <mc:Choice Requires="x14">
            <control shapeId="3113" r:id="rId37" name="Group Box 41">
              <controlPr defaultSize="0" autoFill="0" autoPict="0">
                <anchor moveWithCells="1">
                  <from>
                    <xdr:col>3</xdr:col>
                    <xdr:colOff>9525</xdr:colOff>
                    <xdr:row>30</xdr:row>
                    <xdr:rowOff>9525</xdr:rowOff>
                  </from>
                  <to>
                    <xdr:col>5</xdr:col>
                    <xdr:colOff>0</xdr:colOff>
                    <xdr:row>31</xdr:row>
                    <xdr:rowOff>0</xdr:rowOff>
                  </to>
                </anchor>
              </controlPr>
            </control>
          </mc:Choice>
        </mc:AlternateContent>
        <mc:AlternateContent xmlns:mc="http://schemas.openxmlformats.org/markup-compatibility/2006">
          <mc:Choice Requires="x14">
            <control shapeId="3114" r:id="rId38" name="Option Button 42">
              <controlPr defaultSize="0" autoFill="0" autoLine="0" autoPict="0">
                <anchor moveWithCells="1">
                  <from>
                    <xdr:col>3</xdr:col>
                    <xdr:colOff>733425</xdr:colOff>
                    <xdr:row>30</xdr:row>
                    <xdr:rowOff>114300</xdr:rowOff>
                  </from>
                  <to>
                    <xdr:col>3</xdr:col>
                    <xdr:colOff>933450</xdr:colOff>
                    <xdr:row>31</xdr:row>
                    <xdr:rowOff>0</xdr:rowOff>
                  </to>
                </anchor>
              </controlPr>
            </control>
          </mc:Choice>
        </mc:AlternateContent>
        <mc:AlternateContent xmlns:mc="http://schemas.openxmlformats.org/markup-compatibility/2006">
          <mc:Choice Requires="x14">
            <control shapeId="3115" r:id="rId39" name="Option Button 43">
              <controlPr defaultSize="0" autoFill="0" autoLine="0" autoPict="0">
                <anchor moveWithCells="1">
                  <from>
                    <xdr:col>4</xdr:col>
                    <xdr:colOff>704850</xdr:colOff>
                    <xdr:row>30</xdr:row>
                    <xdr:rowOff>114300</xdr:rowOff>
                  </from>
                  <to>
                    <xdr:col>4</xdr:col>
                    <xdr:colOff>885825</xdr:colOff>
                    <xdr:row>31</xdr:row>
                    <xdr:rowOff>0</xdr:rowOff>
                  </to>
                </anchor>
              </controlPr>
            </control>
          </mc:Choice>
        </mc:AlternateContent>
        <mc:AlternateContent xmlns:mc="http://schemas.openxmlformats.org/markup-compatibility/2006">
          <mc:Choice Requires="x14">
            <control shapeId="3116" r:id="rId40" name="Group Box 44">
              <controlPr defaultSize="0" autoFill="0" autoPict="0">
                <anchor moveWithCells="1">
                  <from>
                    <xdr:col>3</xdr:col>
                    <xdr:colOff>9525</xdr:colOff>
                    <xdr:row>32</xdr:row>
                    <xdr:rowOff>9525</xdr:rowOff>
                  </from>
                  <to>
                    <xdr:col>5</xdr:col>
                    <xdr:colOff>0</xdr:colOff>
                    <xdr:row>33</xdr:row>
                    <xdr:rowOff>9525</xdr:rowOff>
                  </to>
                </anchor>
              </controlPr>
            </control>
          </mc:Choice>
        </mc:AlternateContent>
        <mc:AlternateContent xmlns:mc="http://schemas.openxmlformats.org/markup-compatibility/2006">
          <mc:Choice Requires="x14">
            <control shapeId="3117" r:id="rId41" name="Option Button 45">
              <controlPr defaultSize="0" autoFill="0" autoLine="0" autoPict="0">
                <anchor moveWithCells="1">
                  <from>
                    <xdr:col>3</xdr:col>
                    <xdr:colOff>723900</xdr:colOff>
                    <xdr:row>32</xdr:row>
                    <xdr:rowOff>47625</xdr:rowOff>
                  </from>
                  <to>
                    <xdr:col>3</xdr:col>
                    <xdr:colOff>914400</xdr:colOff>
                    <xdr:row>33</xdr:row>
                    <xdr:rowOff>0</xdr:rowOff>
                  </to>
                </anchor>
              </controlPr>
            </control>
          </mc:Choice>
        </mc:AlternateContent>
        <mc:AlternateContent xmlns:mc="http://schemas.openxmlformats.org/markup-compatibility/2006">
          <mc:Choice Requires="x14">
            <control shapeId="3118" r:id="rId42" name="Option Button 46">
              <controlPr defaultSize="0" autoFill="0" autoLine="0" autoPict="0">
                <anchor moveWithCells="1">
                  <from>
                    <xdr:col>4</xdr:col>
                    <xdr:colOff>704850</xdr:colOff>
                    <xdr:row>32</xdr:row>
                    <xdr:rowOff>47625</xdr:rowOff>
                  </from>
                  <to>
                    <xdr:col>4</xdr:col>
                    <xdr:colOff>885825</xdr:colOff>
                    <xdr:row>33</xdr:row>
                    <xdr:rowOff>0</xdr:rowOff>
                  </to>
                </anchor>
              </controlPr>
            </control>
          </mc:Choice>
        </mc:AlternateContent>
        <mc:AlternateContent xmlns:mc="http://schemas.openxmlformats.org/markup-compatibility/2006">
          <mc:Choice Requires="x14">
            <control shapeId="3119" r:id="rId43" name="Group Box 47">
              <controlPr defaultSize="0" autoFill="0" autoPict="0">
                <anchor moveWithCells="1">
                  <from>
                    <xdr:col>3</xdr:col>
                    <xdr:colOff>9525</xdr:colOff>
                    <xdr:row>34</xdr:row>
                    <xdr:rowOff>9525</xdr:rowOff>
                  </from>
                  <to>
                    <xdr:col>5</xdr:col>
                    <xdr:colOff>0</xdr:colOff>
                    <xdr:row>35</xdr:row>
                    <xdr:rowOff>0</xdr:rowOff>
                  </to>
                </anchor>
              </controlPr>
            </control>
          </mc:Choice>
        </mc:AlternateContent>
        <mc:AlternateContent xmlns:mc="http://schemas.openxmlformats.org/markup-compatibility/2006">
          <mc:Choice Requires="x14">
            <control shapeId="3120" r:id="rId44" name="Option Button 48">
              <controlPr defaultSize="0" autoFill="0" autoLine="0" autoPict="0">
                <anchor moveWithCells="1">
                  <from>
                    <xdr:col>3</xdr:col>
                    <xdr:colOff>733425</xdr:colOff>
                    <xdr:row>34</xdr:row>
                    <xdr:rowOff>28575</xdr:rowOff>
                  </from>
                  <to>
                    <xdr:col>3</xdr:col>
                    <xdr:colOff>952500</xdr:colOff>
                    <xdr:row>35</xdr:row>
                    <xdr:rowOff>0</xdr:rowOff>
                  </to>
                </anchor>
              </controlPr>
            </control>
          </mc:Choice>
        </mc:AlternateContent>
        <mc:AlternateContent xmlns:mc="http://schemas.openxmlformats.org/markup-compatibility/2006">
          <mc:Choice Requires="x14">
            <control shapeId="3121" r:id="rId45" name="Option Button 49">
              <controlPr defaultSize="0" autoFill="0" autoLine="0" autoPict="0">
                <anchor moveWithCells="1">
                  <from>
                    <xdr:col>4</xdr:col>
                    <xdr:colOff>714375</xdr:colOff>
                    <xdr:row>34</xdr:row>
                    <xdr:rowOff>28575</xdr:rowOff>
                  </from>
                  <to>
                    <xdr:col>4</xdr:col>
                    <xdr:colOff>914400</xdr:colOff>
                    <xdr:row>35</xdr:row>
                    <xdr:rowOff>0</xdr:rowOff>
                  </to>
                </anchor>
              </controlPr>
            </control>
          </mc:Choice>
        </mc:AlternateContent>
        <mc:AlternateContent xmlns:mc="http://schemas.openxmlformats.org/markup-compatibility/2006">
          <mc:Choice Requires="x14">
            <control shapeId="3125" r:id="rId46" name="Group Box 53">
              <controlPr defaultSize="0" autoFill="0" autoPict="0">
                <anchor moveWithCells="1">
                  <from>
                    <xdr:col>3</xdr:col>
                    <xdr:colOff>9525</xdr:colOff>
                    <xdr:row>49</xdr:row>
                    <xdr:rowOff>9525</xdr:rowOff>
                  </from>
                  <to>
                    <xdr:col>5</xdr:col>
                    <xdr:colOff>0</xdr:colOff>
                    <xdr:row>50</xdr:row>
                    <xdr:rowOff>0</xdr:rowOff>
                  </to>
                </anchor>
              </controlPr>
            </control>
          </mc:Choice>
        </mc:AlternateContent>
        <mc:AlternateContent xmlns:mc="http://schemas.openxmlformats.org/markup-compatibility/2006">
          <mc:Choice Requires="x14">
            <control shapeId="3126" r:id="rId47" name="Option Button 54">
              <controlPr defaultSize="0" autoFill="0" autoLine="0" autoPict="0">
                <anchor moveWithCells="1">
                  <from>
                    <xdr:col>3</xdr:col>
                    <xdr:colOff>723900</xdr:colOff>
                    <xdr:row>49</xdr:row>
                    <xdr:rowOff>28575</xdr:rowOff>
                  </from>
                  <to>
                    <xdr:col>3</xdr:col>
                    <xdr:colOff>914400</xdr:colOff>
                    <xdr:row>49</xdr:row>
                    <xdr:rowOff>200025</xdr:rowOff>
                  </to>
                </anchor>
              </controlPr>
            </control>
          </mc:Choice>
        </mc:AlternateContent>
        <mc:AlternateContent xmlns:mc="http://schemas.openxmlformats.org/markup-compatibility/2006">
          <mc:Choice Requires="x14">
            <control shapeId="3127" r:id="rId48" name="Option Button 55">
              <controlPr defaultSize="0" autoFill="0" autoLine="0" autoPict="0">
                <anchor moveWithCells="1">
                  <from>
                    <xdr:col>4</xdr:col>
                    <xdr:colOff>704850</xdr:colOff>
                    <xdr:row>49</xdr:row>
                    <xdr:rowOff>38100</xdr:rowOff>
                  </from>
                  <to>
                    <xdr:col>4</xdr:col>
                    <xdr:colOff>895350</xdr:colOff>
                    <xdr:row>49</xdr:row>
                    <xdr:rowOff>200025</xdr:rowOff>
                  </to>
                </anchor>
              </controlPr>
            </control>
          </mc:Choice>
        </mc:AlternateContent>
        <mc:AlternateContent xmlns:mc="http://schemas.openxmlformats.org/markup-compatibility/2006">
          <mc:Choice Requires="x14">
            <control shapeId="3128" r:id="rId49" name="Group Box 56">
              <controlPr defaultSize="0" autoFill="0" autoPict="0">
                <anchor moveWithCells="1">
                  <from>
                    <xdr:col>3</xdr:col>
                    <xdr:colOff>9525</xdr:colOff>
                    <xdr:row>51</xdr:row>
                    <xdr:rowOff>9525</xdr:rowOff>
                  </from>
                  <to>
                    <xdr:col>5</xdr:col>
                    <xdr:colOff>0</xdr:colOff>
                    <xdr:row>53</xdr:row>
                    <xdr:rowOff>304800</xdr:rowOff>
                  </to>
                </anchor>
              </controlPr>
            </control>
          </mc:Choice>
        </mc:AlternateContent>
        <mc:AlternateContent xmlns:mc="http://schemas.openxmlformats.org/markup-compatibility/2006">
          <mc:Choice Requires="x14">
            <control shapeId="3129" r:id="rId50" name="Option Button 57">
              <controlPr defaultSize="0" autoFill="0" autoLine="0" autoPict="0">
                <anchor moveWithCells="1">
                  <from>
                    <xdr:col>3</xdr:col>
                    <xdr:colOff>714375</xdr:colOff>
                    <xdr:row>52</xdr:row>
                    <xdr:rowOff>28575</xdr:rowOff>
                  </from>
                  <to>
                    <xdr:col>3</xdr:col>
                    <xdr:colOff>904875</xdr:colOff>
                    <xdr:row>52</xdr:row>
                    <xdr:rowOff>295275</xdr:rowOff>
                  </to>
                </anchor>
              </controlPr>
            </control>
          </mc:Choice>
        </mc:AlternateContent>
        <mc:AlternateContent xmlns:mc="http://schemas.openxmlformats.org/markup-compatibility/2006">
          <mc:Choice Requires="x14">
            <control shapeId="3130" r:id="rId51" name="Option Button 58">
              <controlPr defaultSize="0" autoFill="0" autoLine="0" autoPict="0">
                <anchor moveWithCells="1">
                  <from>
                    <xdr:col>4</xdr:col>
                    <xdr:colOff>723900</xdr:colOff>
                    <xdr:row>52</xdr:row>
                    <xdr:rowOff>38100</xdr:rowOff>
                  </from>
                  <to>
                    <xdr:col>4</xdr:col>
                    <xdr:colOff>923925</xdr:colOff>
                    <xdr:row>52</xdr:row>
                    <xdr:rowOff>295275</xdr:rowOff>
                  </to>
                </anchor>
              </controlPr>
            </control>
          </mc:Choice>
        </mc:AlternateContent>
        <mc:AlternateContent xmlns:mc="http://schemas.openxmlformats.org/markup-compatibility/2006">
          <mc:Choice Requires="x14">
            <control shapeId="3131" r:id="rId52" name="Drop Down 59">
              <controlPr defaultSize="0" autoLine="0" autoPict="0">
                <anchor moveWithCells="1">
                  <from>
                    <xdr:col>4</xdr:col>
                    <xdr:colOff>28575</xdr:colOff>
                    <xdr:row>52</xdr:row>
                    <xdr:rowOff>47625</xdr:rowOff>
                  </from>
                  <to>
                    <xdr:col>4</xdr:col>
                    <xdr:colOff>695325</xdr:colOff>
                    <xdr:row>52</xdr:row>
                    <xdr:rowOff>266700</xdr:rowOff>
                  </to>
                </anchor>
              </controlPr>
            </control>
          </mc:Choice>
        </mc:AlternateContent>
        <mc:AlternateContent xmlns:mc="http://schemas.openxmlformats.org/markup-compatibility/2006">
          <mc:Choice Requires="x14">
            <control shapeId="3140" r:id="rId53" name="Group Box 68">
              <controlPr defaultSize="0" autoFill="0" autoPict="0">
                <anchor moveWithCells="1">
                  <from>
                    <xdr:col>3</xdr:col>
                    <xdr:colOff>9525</xdr:colOff>
                    <xdr:row>54</xdr:row>
                    <xdr:rowOff>9525</xdr:rowOff>
                  </from>
                  <to>
                    <xdr:col>5</xdr:col>
                    <xdr:colOff>0</xdr:colOff>
                    <xdr:row>54</xdr:row>
                    <xdr:rowOff>304800</xdr:rowOff>
                  </to>
                </anchor>
              </controlPr>
            </control>
          </mc:Choice>
        </mc:AlternateContent>
        <mc:AlternateContent xmlns:mc="http://schemas.openxmlformats.org/markup-compatibility/2006">
          <mc:Choice Requires="x14">
            <control shapeId="3141" r:id="rId54" name="Option Button 69">
              <controlPr defaultSize="0" autoFill="0" autoLine="0" autoPict="0">
                <anchor moveWithCells="1">
                  <from>
                    <xdr:col>3</xdr:col>
                    <xdr:colOff>723900</xdr:colOff>
                    <xdr:row>54</xdr:row>
                    <xdr:rowOff>38100</xdr:rowOff>
                  </from>
                  <to>
                    <xdr:col>3</xdr:col>
                    <xdr:colOff>904875</xdr:colOff>
                    <xdr:row>54</xdr:row>
                    <xdr:rowOff>247650</xdr:rowOff>
                  </to>
                </anchor>
              </controlPr>
            </control>
          </mc:Choice>
        </mc:AlternateContent>
        <mc:AlternateContent xmlns:mc="http://schemas.openxmlformats.org/markup-compatibility/2006">
          <mc:Choice Requires="x14">
            <control shapeId="3142" r:id="rId55" name="Option Button 70">
              <controlPr defaultSize="0" autoFill="0" autoLine="0" autoPict="0">
                <anchor moveWithCells="1">
                  <from>
                    <xdr:col>4</xdr:col>
                    <xdr:colOff>723900</xdr:colOff>
                    <xdr:row>54</xdr:row>
                    <xdr:rowOff>47625</xdr:rowOff>
                  </from>
                  <to>
                    <xdr:col>4</xdr:col>
                    <xdr:colOff>942975</xdr:colOff>
                    <xdr:row>54</xdr:row>
                    <xdr:rowOff>228600</xdr:rowOff>
                  </to>
                </anchor>
              </controlPr>
            </control>
          </mc:Choice>
        </mc:AlternateContent>
        <mc:AlternateContent xmlns:mc="http://schemas.openxmlformats.org/markup-compatibility/2006">
          <mc:Choice Requires="x14">
            <control shapeId="3143" r:id="rId56" name="Drop Down 71">
              <controlPr defaultSize="0" autoLine="0" autoPict="0">
                <anchor moveWithCells="1">
                  <from>
                    <xdr:col>4</xdr:col>
                    <xdr:colOff>38100</xdr:colOff>
                    <xdr:row>54</xdr:row>
                    <xdr:rowOff>47625</xdr:rowOff>
                  </from>
                  <to>
                    <xdr:col>4</xdr:col>
                    <xdr:colOff>704850</xdr:colOff>
                    <xdr:row>54</xdr:row>
                    <xdr:rowOff>247650</xdr:rowOff>
                  </to>
                </anchor>
              </controlPr>
            </control>
          </mc:Choice>
        </mc:AlternateContent>
        <mc:AlternateContent xmlns:mc="http://schemas.openxmlformats.org/markup-compatibility/2006">
          <mc:Choice Requires="x14">
            <control shapeId="3144" r:id="rId57" name="Group Box 72">
              <controlPr defaultSize="0" autoFill="0" autoPict="0">
                <anchor moveWithCells="1">
                  <from>
                    <xdr:col>3</xdr:col>
                    <xdr:colOff>9525</xdr:colOff>
                    <xdr:row>55</xdr:row>
                    <xdr:rowOff>9525</xdr:rowOff>
                  </from>
                  <to>
                    <xdr:col>5</xdr:col>
                    <xdr:colOff>0</xdr:colOff>
                    <xdr:row>55</xdr:row>
                    <xdr:rowOff>304800</xdr:rowOff>
                  </to>
                </anchor>
              </controlPr>
            </control>
          </mc:Choice>
        </mc:AlternateContent>
        <mc:AlternateContent xmlns:mc="http://schemas.openxmlformats.org/markup-compatibility/2006">
          <mc:Choice Requires="x14">
            <control shapeId="3145" r:id="rId58" name="Option Button 73">
              <controlPr defaultSize="0" autoFill="0" autoLine="0" autoPict="0">
                <anchor moveWithCells="1">
                  <from>
                    <xdr:col>3</xdr:col>
                    <xdr:colOff>723900</xdr:colOff>
                    <xdr:row>55</xdr:row>
                    <xdr:rowOff>28575</xdr:rowOff>
                  </from>
                  <to>
                    <xdr:col>3</xdr:col>
                    <xdr:colOff>914400</xdr:colOff>
                    <xdr:row>55</xdr:row>
                    <xdr:rowOff>228600</xdr:rowOff>
                  </to>
                </anchor>
              </controlPr>
            </control>
          </mc:Choice>
        </mc:AlternateContent>
        <mc:AlternateContent xmlns:mc="http://schemas.openxmlformats.org/markup-compatibility/2006">
          <mc:Choice Requires="x14">
            <control shapeId="3146" r:id="rId59" name="Option Button 74">
              <controlPr defaultSize="0" autoFill="0" autoLine="0" autoPict="0">
                <anchor moveWithCells="1">
                  <from>
                    <xdr:col>4</xdr:col>
                    <xdr:colOff>714375</xdr:colOff>
                    <xdr:row>55</xdr:row>
                    <xdr:rowOff>38100</xdr:rowOff>
                  </from>
                  <to>
                    <xdr:col>4</xdr:col>
                    <xdr:colOff>914400</xdr:colOff>
                    <xdr:row>55</xdr:row>
                    <xdr:rowOff>247650</xdr:rowOff>
                  </to>
                </anchor>
              </controlPr>
            </control>
          </mc:Choice>
        </mc:AlternateContent>
        <mc:AlternateContent xmlns:mc="http://schemas.openxmlformats.org/markup-compatibility/2006">
          <mc:Choice Requires="x14">
            <control shapeId="3147" r:id="rId60" name="Drop Down 75">
              <controlPr defaultSize="0" autoLine="0" autoPict="0">
                <anchor moveWithCells="1">
                  <from>
                    <xdr:col>4</xdr:col>
                    <xdr:colOff>38100</xdr:colOff>
                    <xdr:row>55</xdr:row>
                    <xdr:rowOff>47625</xdr:rowOff>
                  </from>
                  <to>
                    <xdr:col>4</xdr:col>
                    <xdr:colOff>704850</xdr:colOff>
                    <xdr:row>55</xdr:row>
                    <xdr:rowOff>247650</xdr:rowOff>
                  </to>
                </anchor>
              </controlPr>
            </control>
          </mc:Choice>
        </mc:AlternateContent>
        <mc:AlternateContent xmlns:mc="http://schemas.openxmlformats.org/markup-compatibility/2006">
          <mc:Choice Requires="x14">
            <control shapeId="3148" r:id="rId61" name="Group Box 76">
              <controlPr defaultSize="0" autoFill="0" autoPict="0">
                <anchor moveWithCells="1">
                  <from>
                    <xdr:col>3</xdr:col>
                    <xdr:colOff>9525</xdr:colOff>
                    <xdr:row>56</xdr:row>
                    <xdr:rowOff>9525</xdr:rowOff>
                  </from>
                  <to>
                    <xdr:col>4</xdr:col>
                    <xdr:colOff>952500</xdr:colOff>
                    <xdr:row>57</xdr:row>
                    <xdr:rowOff>0</xdr:rowOff>
                  </to>
                </anchor>
              </controlPr>
            </control>
          </mc:Choice>
        </mc:AlternateContent>
        <mc:AlternateContent xmlns:mc="http://schemas.openxmlformats.org/markup-compatibility/2006">
          <mc:Choice Requires="x14">
            <control shapeId="3149" r:id="rId62" name="Option Button 77">
              <controlPr defaultSize="0" autoFill="0" autoLine="0" autoPict="0">
                <anchor moveWithCells="1">
                  <from>
                    <xdr:col>3</xdr:col>
                    <xdr:colOff>733425</xdr:colOff>
                    <xdr:row>56</xdr:row>
                    <xdr:rowOff>95250</xdr:rowOff>
                  </from>
                  <to>
                    <xdr:col>3</xdr:col>
                    <xdr:colOff>942975</xdr:colOff>
                    <xdr:row>56</xdr:row>
                    <xdr:rowOff>209550</xdr:rowOff>
                  </to>
                </anchor>
              </controlPr>
            </control>
          </mc:Choice>
        </mc:AlternateContent>
        <mc:AlternateContent xmlns:mc="http://schemas.openxmlformats.org/markup-compatibility/2006">
          <mc:Choice Requires="x14">
            <control shapeId="3150" r:id="rId63" name="Option Button 78">
              <controlPr defaultSize="0" autoFill="0" autoLine="0" autoPict="0">
                <anchor moveWithCells="1">
                  <from>
                    <xdr:col>4</xdr:col>
                    <xdr:colOff>714375</xdr:colOff>
                    <xdr:row>56</xdr:row>
                    <xdr:rowOff>95250</xdr:rowOff>
                  </from>
                  <to>
                    <xdr:col>4</xdr:col>
                    <xdr:colOff>914400</xdr:colOff>
                    <xdr:row>56</xdr:row>
                    <xdr:rowOff>209550</xdr:rowOff>
                  </to>
                </anchor>
              </controlPr>
            </control>
          </mc:Choice>
        </mc:AlternateContent>
        <mc:AlternateContent xmlns:mc="http://schemas.openxmlformats.org/markup-compatibility/2006">
          <mc:Choice Requires="x14">
            <control shapeId="3151" r:id="rId64" name="Drop Down 79">
              <controlPr defaultSize="0" autoLine="0" autoPict="0">
                <anchor moveWithCells="1">
                  <from>
                    <xdr:col>4</xdr:col>
                    <xdr:colOff>38100</xdr:colOff>
                    <xdr:row>56</xdr:row>
                    <xdr:rowOff>57150</xdr:rowOff>
                  </from>
                  <to>
                    <xdr:col>4</xdr:col>
                    <xdr:colOff>704850</xdr:colOff>
                    <xdr:row>56</xdr:row>
                    <xdr:rowOff>266700</xdr:rowOff>
                  </to>
                </anchor>
              </controlPr>
            </control>
          </mc:Choice>
        </mc:AlternateContent>
        <mc:AlternateContent xmlns:mc="http://schemas.openxmlformats.org/markup-compatibility/2006">
          <mc:Choice Requires="x14">
            <control shapeId="3155" r:id="rId65" name="Group Box 83">
              <controlPr defaultSize="0" autoFill="0" autoPict="0">
                <anchor moveWithCells="1">
                  <from>
                    <xdr:col>3</xdr:col>
                    <xdr:colOff>9525</xdr:colOff>
                    <xdr:row>69</xdr:row>
                    <xdr:rowOff>9525</xdr:rowOff>
                  </from>
                  <to>
                    <xdr:col>5</xdr:col>
                    <xdr:colOff>0</xdr:colOff>
                    <xdr:row>70</xdr:row>
                    <xdr:rowOff>0</xdr:rowOff>
                  </to>
                </anchor>
              </controlPr>
            </control>
          </mc:Choice>
        </mc:AlternateContent>
        <mc:AlternateContent xmlns:mc="http://schemas.openxmlformats.org/markup-compatibility/2006">
          <mc:Choice Requires="x14">
            <control shapeId="3156" r:id="rId66" name="Option Button 84">
              <controlPr defaultSize="0" autoFill="0" autoLine="0" autoPict="0">
                <anchor moveWithCells="1">
                  <from>
                    <xdr:col>3</xdr:col>
                    <xdr:colOff>714375</xdr:colOff>
                    <xdr:row>69</xdr:row>
                    <xdr:rowOff>28575</xdr:rowOff>
                  </from>
                  <to>
                    <xdr:col>3</xdr:col>
                    <xdr:colOff>895350</xdr:colOff>
                    <xdr:row>69</xdr:row>
                    <xdr:rowOff>228600</xdr:rowOff>
                  </to>
                </anchor>
              </controlPr>
            </control>
          </mc:Choice>
        </mc:AlternateContent>
        <mc:AlternateContent xmlns:mc="http://schemas.openxmlformats.org/markup-compatibility/2006">
          <mc:Choice Requires="x14">
            <control shapeId="3157" r:id="rId67" name="Option Button 85">
              <controlPr defaultSize="0" autoFill="0" autoLine="0" autoPict="0">
                <anchor moveWithCells="1">
                  <from>
                    <xdr:col>4</xdr:col>
                    <xdr:colOff>714375</xdr:colOff>
                    <xdr:row>69</xdr:row>
                    <xdr:rowOff>28575</xdr:rowOff>
                  </from>
                  <to>
                    <xdr:col>4</xdr:col>
                    <xdr:colOff>914400</xdr:colOff>
                    <xdr:row>69</xdr:row>
                    <xdr:rowOff>219075</xdr:rowOff>
                  </to>
                </anchor>
              </controlPr>
            </control>
          </mc:Choice>
        </mc:AlternateContent>
        <mc:AlternateContent xmlns:mc="http://schemas.openxmlformats.org/markup-compatibility/2006">
          <mc:Choice Requires="x14">
            <control shapeId="3158" r:id="rId68" name="Group Box 86">
              <controlPr defaultSize="0" autoFill="0" autoPict="0">
                <anchor moveWithCells="1">
                  <from>
                    <xdr:col>3</xdr:col>
                    <xdr:colOff>9525</xdr:colOff>
                    <xdr:row>71</xdr:row>
                    <xdr:rowOff>9525</xdr:rowOff>
                  </from>
                  <to>
                    <xdr:col>5</xdr:col>
                    <xdr:colOff>0</xdr:colOff>
                    <xdr:row>73</xdr:row>
                    <xdr:rowOff>0</xdr:rowOff>
                  </to>
                </anchor>
              </controlPr>
            </control>
          </mc:Choice>
        </mc:AlternateContent>
        <mc:AlternateContent xmlns:mc="http://schemas.openxmlformats.org/markup-compatibility/2006">
          <mc:Choice Requires="x14">
            <control shapeId="3160" r:id="rId69" name="Option Button 88">
              <controlPr defaultSize="0" autoFill="0" autoLine="0" autoPict="0">
                <anchor moveWithCells="1">
                  <from>
                    <xdr:col>3</xdr:col>
                    <xdr:colOff>390525</xdr:colOff>
                    <xdr:row>71</xdr:row>
                    <xdr:rowOff>28575</xdr:rowOff>
                  </from>
                  <to>
                    <xdr:col>3</xdr:col>
                    <xdr:colOff>590550</xdr:colOff>
                    <xdr:row>71</xdr:row>
                    <xdr:rowOff>190500</xdr:rowOff>
                  </to>
                </anchor>
              </controlPr>
            </control>
          </mc:Choice>
        </mc:AlternateContent>
        <mc:AlternateContent xmlns:mc="http://schemas.openxmlformats.org/markup-compatibility/2006">
          <mc:Choice Requires="x14">
            <control shapeId="3161" r:id="rId70" name="Group Box 89">
              <controlPr defaultSize="0" autoFill="0" autoPict="0">
                <anchor moveWithCells="1">
                  <from>
                    <xdr:col>3</xdr:col>
                    <xdr:colOff>9525</xdr:colOff>
                    <xdr:row>87</xdr:row>
                    <xdr:rowOff>9525</xdr:rowOff>
                  </from>
                  <to>
                    <xdr:col>5</xdr:col>
                    <xdr:colOff>0</xdr:colOff>
                    <xdr:row>88</xdr:row>
                    <xdr:rowOff>9525</xdr:rowOff>
                  </to>
                </anchor>
              </controlPr>
            </control>
          </mc:Choice>
        </mc:AlternateContent>
        <mc:AlternateContent xmlns:mc="http://schemas.openxmlformats.org/markup-compatibility/2006">
          <mc:Choice Requires="x14">
            <control shapeId="3162" r:id="rId71" name="Option Button 90">
              <controlPr defaultSize="0" autoFill="0" autoLine="0" autoPict="0">
                <anchor moveWithCells="1">
                  <from>
                    <xdr:col>3</xdr:col>
                    <xdr:colOff>390525</xdr:colOff>
                    <xdr:row>87</xdr:row>
                    <xdr:rowOff>19050</xdr:rowOff>
                  </from>
                  <to>
                    <xdr:col>3</xdr:col>
                    <xdr:colOff>609600</xdr:colOff>
                    <xdr:row>87</xdr:row>
                    <xdr:rowOff>180975</xdr:rowOff>
                  </to>
                </anchor>
              </controlPr>
            </control>
          </mc:Choice>
        </mc:AlternateContent>
        <mc:AlternateContent xmlns:mc="http://schemas.openxmlformats.org/markup-compatibility/2006">
          <mc:Choice Requires="x14">
            <control shapeId="3163" r:id="rId72" name="Option Button 91">
              <controlPr defaultSize="0" autoFill="0" autoLine="0" autoPict="0">
                <anchor moveWithCells="1">
                  <from>
                    <xdr:col>4</xdr:col>
                    <xdr:colOff>381000</xdr:colOff>
                    <xdr:row>87</xdr:row>
                    <xdr:rowOff>19050</xdr:rowOff>
                  </from>
                  <to>
                    <xdr:col>4</xdr:col>
                    <xdr:colOff>581025</xdr:colOff>
                    <xdr:row>87</xdr:row>
                    <xdr:rowOff>190500</xdr:rowOff>
                  </to>
                </anchor>
              </controlPr>
            </control>
          </mc:Choice>
        </mc:AlternateContent>
        <mc:AlternateContent xmlns:mc="http://schemas.openxmlformats.org/markup-compatibility/2006">
          <mc:Choice Requires="x14">
            <control shapeId="3164" r:id="rId73" name="Group Box 92">
              <controlPr defaultSize="0" autoFill="0" autoPict="0">
                <anchor moveWithCells="1">
                  <from>
                    <xdr:col>3</xdr:col>
                    <xdr:colOff>9525</xdr:colOff>
                    <xdr:row>17</xdr:row>
                    <xdr:rowOff>9525</xdr:rowOff>
                  </from>
                  <to>
                    <xdr:col>5</xdr:col>
                    <xdr:colOff>9525</xdr:colOff>
                    <xdr:row>18</xdr:row>
                    <xdr:rowOff>0</xdr:rowOff>
                  </to>
                </anchor>
              </controlPr>
            </control>
          </mc:Choice>
        </mc:AlternateContent>
        <mc:AlternateContent xmlns:mc="http://schemas.openxmlformats.org/markup-compatibility/2006">
          <mc:Choice Requires="x14">
            <control shapeId="3165" r:id="rId74" name="Option Button 93">
              <controlPr defaultSize="0" autoFill="0" autoLine="0" autoPict="0">
                <anchor moveWithCells="1">
                  <from>
                    <xdr:col>3</xdr:col>
                    <xdr:colOff>742950</xdr:colOff>
                    <xdr:row>17</xdr:row>
                    <xdr:rowOff>38100</xdr:rowOff>
                  </from>
                  <to>
                    <xdr:col>3</xdr:col>
                    <xdr:colOff>933450</xdr:colOff>
                    <xdr:row>18</xdr:row>
                    <xdr:rowOff>0</xdr:rowOff>
                  </to>
                </anchor>
              </controlPr>
            </control>
          </mc:Choice>
        </mc:AlternateContent>
        <mc:AlternateContent xmlns:mc="http://schemas.openxmlformats.org/markup-compatibility/2006">
          <mc:Choice Requires="x14">
            <control shapeId="3166" r:id="rId75" name="Option Button 94">
              <controlPr defaultSize="0" autoFill="0" autoLine="0" autoPict="0">
                <anchor moveWithCells="1">
                  <from>
                    <xdr:col>4</xdr:col>
                    <xdr:colOff>695325</xdr:colOff>
                    <xdr:row>17</xdr:row>
                    <xdr:rowOff>38100</xdr:rowOff>
                  </from>
                  <to>
                    <xdr:col>4</xdr:col>
                    <xdr:colOff>885825</xdr:colOff>
                    <xdr:row>18</xdr:row>
                    <xdr:rowOff>0</xdr:rowOff>
                  </to>
                </anchor>
              </controlPr>
            </control>
          </mc:Choice>
        </mc:AlternateContent>
        <mc:AlternateContent xmlns:mc="http://schemas.openxmlformats.org/markup-compatibility/2006">
          <mc:Choice Requires="x14">
            <control shapeId="3170" r:id="rId76" name="Group Box 98">
              <controlPr defaultSize="0" autoFill="0" autoPict="0">
                <anchor moveWithCells="1">
                  <from>
                    <xdr:col>3</xdr:col>
                    <xdr:colOff>9525</xdr:colOff>
                    <xdr:row>40</xdr:row>
                    <xdr:rowOff>9525</xdr:rowOff>
                  </from>
                  <to>
                    <xdr:col>4</xdr:col>
                    <xdr:colOff>952500</xdr:colOff>
                    <xdr:row>41</xdr:row>
                    <xdr:rowOff>0</xdr:rowOff>
                  </to>
                </anchor>
              </controlPr>
            </control>
          </mc:Choice>
        </mc:AlternateContent>
        <mc:AlternateContent xmlns:mc="http://schemas.openxmlformats.org/markup-compatibility/2006">
          <mc:Choice Requires="x14">
            <control shapeId="3171" r:id="rId77" name="Option Button 99">
              <controlPr defaultSize="0" autoFill="0" autoLine="0" autoPict="0">
                <anchor moveWithCells="1">
                  <from>
                    <xdr:col>3</xdr:col>
                    <xdr:colOff>742950</xdr:colOff>
                    <xdr:row>40</xdr:row>
                    <xdr:rowOff>76200</xdr:rowOff>
                  </from>
                  <to>
                    <xdr:col>3</xdr:col>
                    <xdr:colOff>962025</xdr:colOff>
                    <xdr:row>41</xdr:row>
                    <xdr:rowOff>0</xdr:rowOff>
                  </to>
                </anchor>
              </controlPr>
            </control>
          </mc:Choice>
        </mc:AlternateContent>
        <mc:AlternateContent xmlns:mc="http://schemas.openxmlformats.org/markup-compatibility/2006">
          <mc:Choice Requires="x14">
            <control shapeId="3172" r:id="rId78" name="Option Button 100">
              <controlPr defaultSize="0" autoFill="0" autoLine="0" autoPict="0">
                <anchor moveWithCells="1">
                  <from>
                    <xdr:col>4</xdr:col>
                    <xdr:colOff>704850</xdr:colOff>
                    <xdr:row>40</xdr:row>
                    <xdr:rowOff>114300</xdr:rowOff>
                  </from>
                  <to>
                    <xdr:col>4</xdr:col>
                    <xdr:colOff>895350</xdr:colOff>
                    <xdr:row>41</xdr:row>
                    <xdr:rowOff>0</xdr:rowOff>
                  </to>
                </anchor>
              </controlPr>
            </control>
          </mc:Choice>
        </mc:AlternateContent>
        <mc:AlternateContent xmlns:mc="http://schemas.openxmlformats.org/markup-compatibility/2006">
          <mc:Choice Requires="x14">
            <control shapeId="3173" r:id="rId79" name="Group Box 101">
              <controlPr defaultSize="0" autoFill="0" autoPict="0">
                <anchor moveWithCells="1">
                  <from>
                    <xdr:col>3</xdr:col>
                    <xdr:colOff>9525</xdr:colOff>
                    <xdr:row>42</xdr:row>
                    <xdr:rowOff>9525</xdr:rowOff>
                  </from>
                  <to>
                    <xdr:col>4</xdr:col>
                    <xdr:colOff>952500</xdr:colOff>
                    <xdr:row>43</xdr:row>
                    <xdr:rowOff>0</xdr:rowOff>
                  </to>
                </anchor>
              </controlPr>
            </control>
          </mc:Choice>
        </mc:AlternateContent>
        <mc:AlternateContent xmlns:mc="http://schemas.openxmlformats.org/markup-compatibility/2006">
          <mc:Choice Requires="x14">
            <control shapeId="3174" r:id="rId80" name="Option Button 102">
              <controlPr defaultSize="0" autoFill="0" autoLine="0" autoPict="0">
                <anchor moveWithCells="1">
                  <from>
                    <xdr:col>3</xdr:col>
                    <xdr:colOff>733425</xdr:colOff>
                    <xdr:row>42</xdr:row>
                    <xdr:rowOff>47625</xdr:rowOff>
                  </from>
                  <to>
                    <xdr:col>3</xdr:col>
                    <xdr:colOff>914400</xdr:colOff>
                    <xdr:row>43</xdr:row>
                    <xdr:rowOff>0</xdr:rowOff>
                  </to>
                </anchor>
              </controlPr>
            </control>
          </mc:Choice>
        </mc:AlternateContent>
        <mc:AlternateContent xmlns:mc="http://schemas.openxmlformats.org/markup-compatibility/2006">
          <mc:Choice Requires="x14">
            <control shapeId="3175" r:id="rId81" name="Option Button 103">
              <controlPr defaultSize="0" autoFill="0" autoLine="0" autoPict="0">
                <anchor moveWithCells="1">
                  <from>
                    <xdr:col>4</xdr:col>
                    <xdr:colOff>714375</xdr:colOff>
                    <xdr:row>42</xdr:row>
                    <xdr:rowOff>38100</xdr:rowOff>
                  </from>
                  <to>
                    <xdr:col>4</xdr:col>
                    <xdr:colOff>895350</xdr:colOff>
                    <xdr:row>43</xdr:row>
                    <xdr:rowOff>0</xdr:rowOff>
                  </to>
                </anchor>
              </controlPr>
            </control>
          </mc:Choice>
        </mc:AlternateContent>
        <mc:AlternateContent xmlns:mc="http://schemas.openxmlformats.org/markup-compatibility/2006">
          <mc:Choice Requires="x14">
            <control shapeId="3176" r:id="rId82" name="Group Box 104">
              <controlPr defaultSize="0" autoFill="0" autoPict="0">
                <anchor moveWithCells="1">
                  <from>
                    <xdr:col>3</xdr:col>
                    <xdr:colOff>9525</xdr:colOff>
                    <xdr:row>36</xdr:row>
                    <xdr:rowOff>9525</xdr:rowOff>
                  </from>
                  <to>
                    <xdr:col>5</xdr:col>
                    <xdr:colOff>0</xdr:colOff>
                    <xdr:row>37</xdr:row>
                    <xdr:rowOff>0</xdr:rowOff>
                  </to>
                </anchor>
              </controlPr>
            </control>
          </mc:Choice>
        </mc:AlternateContent>
        <mc:AlternateContent xmlns:mc="http://schemas.openxmlformats.org/markup-compatibility/2006">
          <mc:Choice Requires="x14">
            <control shapeId="3177" r:id="rId83" name="Option Button 105">
              <controlPr defaultSize="0" autoFill="0" autoLine="0" autoPict="0">
                <anchor moveWithCells="1">
                  <from>
                    <xdr:col>3</xdr:col>
                    <xdr:colOff>742950</xdr:colOff>
                    <xdr:row>36</xdr:row>
                    <xdr:rowOff>76200</xdr:rowOff>
                  </from>
                  <to>
                    <xdr:col>3</xdr:col>
                    <xdr:colOff>942975</xdr:colOff>
                    <xdr:row>37</xdr:row>
                    <xdr:rowOff>0</xdr:rowOff>
                  </to>
                </anchor>
              </controlPr>
            </control>
          </mc:Choice>
        </mc:AlternateContent>
        <mc:AlternateContent xmlns:mc="http://schemas.openxmlformats.org/markup-compatibility/2006">
          <mc:Choice Requires="x14">
            <control shapeId="3178" r:id="rId84" name="Option Button 106">
              <controlPr defaultSize="0" autoFill="0" autoLine="0" autoPict="0">
                <anchor moveWithCells="1">
                  <from>
                    <xdr:col>4</xdr:col>
                    <xdr:colOff>714375</xdr:colOff>
                    <xdr:row>36</xdr:row>
                    <xdr:rowOff>76200</xdr:rowOff>
                  </from>
                  <to>
                    <xdr:col>4</xdr:col>
                    <xdr:colOff>895350</xdr:colOff>
                    <xdr:row>37</xdr:row>
                    <xdr:rowOff>0</xdr:rowOff>
                  </to>
                </anchor>
              </controlPr>
            </control>
          </mc:Choice>
        </mc:AlternateContent>
        <mc:AlternateContent xmlns:mc="http://schemas.openxmlformats.org/markup-compatibility/2006">
          <mc:Choice Requires="x14">
            <control shapeId="3179" r:id="rId85" name="Group Box 107">
              <controlPr defaultSize="0" autoFill="0" autoPict="0">
                <anchor moveWithCells="1">
                  <from>
                    <xdr:col>3</xdr:col>
                    <xdr:colOff>9525</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3180" r:id="rId86" name="Option Button 108">
              <controlPr defaultSize="0" autoFill="0" autoLine="0" autoPict="0">
                <anchor moveWithCells="1">
                  <from>
                    <xdr:col>3</xdr:col>
                    <xdr:colOff>723900</xdr:colOff>
                    <xdr:row>38</xdr:row>
                    <xdr:rowOff>104775</xdr:rowOff>
                  </from>
                  <to>
                    <xdr:col>3</xdr:col>
                    <xdr:colOff>914400</xdr:colOff>
                    <xdr:row>39</xdr:row>
                    <xdr:rowOff>0</xdr:rowOff>
                  </to>
                </anchor>
              </controlPr>
            </control>
          </mc:Choice>
        </mc:AlternateContent>
        <mc:AlternateContent xmlns:mc="http://schemas.openxmlformats.org/markup-compatibility/2006">
          <mc:Choice Requires="x14">
            <control shapeId="3181" r:id="rId87" name="Option Button 109">
              <controlPr defaultSize="0" autoFill="0" autoLine="0" autoPict="0">
                <anchor moveWithCells="1">
                  <from>
                    <xdr:col>4</xdr:col>
                    <xdr:colOff>723900</xdr:colOff>
                    <xdr:row>38</xdr:row>
                    <xdr:rowOff>95250</xdr:rowOff>
                  </from>
                  <to>
                    <xdr:col>4</xdr:col>
                    <xdr:colOff>895350</xdr:colOff>
                    <xdr:row>39</xdr:row>
                    <xdr:rowOff>0</xdr:rowOff>
                  </to>
                </anchor>
              </controlPr>
            </control>
          </mc:Choice>
        </mc:AlternateContent>
        <mc:AlternateContent xmlns:mc="http://schemas.openxmlformats.org/markup-compatibility/2006">
          <mc:Choice Requires="x14">
            <control shapeId="3183" r:id="rId88" name="Option Button 111">
              <controlPr defaultSize="0" autoFill="0" autoLine="0" autoPict="0">
                <anchor moveWithCells="1">
                  <from>
                    <xdr:col>4</xdr:col>
                    <xdr:colOff>361950</xdr:colOff>
                    <xdr:row>71</xdr:row>
                    <xdr:rowOff>38100</xdr:rowOff>
                  </from>
                  <to>
                    <xdr:col>4</xdr:col>
                    <xdr:colOff>561975</xdr:colOff>
                    <xdr:row>71</xdr:row>
                    <xdr:rowOff>180975</xdr:rowOff>
                  </to>
                </anchor>
              </controlPr>
            </control>
          </mc:Choice>
        </mc:AlternateContent>
        <mc:AlternateContent xmlns:mc="http://schemas.openxmlformats.org/markup-compatibility/2006">
          <mc:Choice Requires="x14">
            <control shapeId="3185" r:id="rId89" name="Group Box 113">
              <controlPr defaultSize="0" autoFill="0" autoPict="0">
                <anchor moveWithCells="1">
                  <from>
                    <xdr:col>3</xdr:col>
                    <xdr:colOff>9525</xdr:colOff>
                    <xdr:row>4</xdr:row>
                    <xdr:rowOff>0</xdr:rowOff>
                  </from>
                  <to>
                    <xdr:col>5</xdr:col>
                    <xdr:colOff>0</xdr:colOff>
                    <xdr:row>4</xdr:row>
                    <xdr:rowOff>238125</xdr:rowOff>
                  </to>
                </anchor>
              </controlPr>
            </control>
          </mc:Choice>
        </mc:AlternateContent>
        <mc:AlternateContent xmlns:mc="http://schemas.openxmlformats.org/markup-compatibility/2006">
          <mc:Choice Requires="x14">
            <control shapeId="3186" r:id="rId90" name="Option Button 114">
              <controlPr defaultSize="0" autoFill="0" autoLine="0" autoPict="0">
                <anchor moveWithCells="1">
                  <from>
                    <xdr:col>3</xdr:col>
                    <xdr:colOff>742950</xdr:colOff>
                    <xdr:row>4</xdr:row>
                    <xdr:rowOff>28575</xdr:rowOff>
                  </from>
                  <to>
                    <xdr:col>3</xdr:col>
                    <xdr:colOff>942975</xdr:colOff>
                    <xdr:row>4</xdr:row>
                    <xdr:rowOff>209550</xdr:rowOff>
                  </to>
                </anchor>
              </controlPr>
            </control>
          </mc:Choice>
        </mc:AlternateContent>
        <mc:AlternateContent xmlns:mc="http://schemas.openxmlformats.org/markup-compatibility/2006">
          <mc:Choice Requires="x14">
            <control shapeId="3187" r:id="rId91" name="Option Button 115">
              <controlPr defaultSize="0" autoFill="0" autoLine="0" autoPict="0">
                <anchor moveWithCells="1">
                  <from>
                    <xdr:col>4</xdr:col>
                    <xdr:colOff>704850</xdr:colOff>
                    <xdr:row>4</xdr:row>
                    <xdr:rowOff>19050</xdr:rowOff>
                  </from>
                  <to>
                    <xdr:col>4</xdr:col>
                    <xdr:colOff>895350</xdr:colOff>
                    <xdr:row>4</xdr:row>
                    <xdr:rowOff>228600</xdr:rowOff>
                  </to>
                </anchor>
              </controlPr>
            </control>
          </mc:Choice>
        </mc:AlternateContent>
        <mc:AlternateContent xmlns:mc="http://schemas.openxmlformats.org/markup-compatibility/2006">
          <mc:Choice Requires="x14">
            <control shapeId="3188" r:id="rId92" name="Group Box 116">
              <controlPr defaultSize="0" autoFill="0" autoPict="0">
                <anchor moveWithCells="1">
                  <from>
                    <xdr:col>3</xdr:col>
                    <xdr:colOff>9525</xdr:colOff>
                    <xdr:row>5</xdr:row>
                    <xdr:rowOff>9525</xdr:rowOff>
                  </from>
                  <to>
                    <xdr:col>5</xdr:col>
                    <xdr:colOff>0</xdr:colOff>
                    <xdr:row>6</xdr:row>
                    <xdr:rowOff>0</xdr:rowOff>
                  </to>
                </anchor>
              </controlPr>
            </control>
          </mc:Choice>
        </mc:AlternateContent>
        <mc:AlternateContent xmlns:mc="http://schemas.openxmlformats.org/markup-compatibility/2006">
          <mc:Choice Requires="x14">
            <control shapeId="3189" r:id="rId93" name="Option Button 117">
              <controlPr defaultSize="0" autoFill="0" autoLine="0" autoPict="0">
                <anchor moveWithCells="1">
                  <from>
                    <xdr:col>3</xdr:col>
                    <xdr:colOff>742950</xdr:colOff>
                    <xdr:row>5</xdr:row>
                    <xdr:rowOff>28575</xdr:rowOff>
                  </from>
                  <to>
                    <xdr:col>3</xdr:col>
                    <xdr:colOff>942975</xdr:colOff>
                    <xdr:row>5</xdr:row>
                    <xdr:rowOff>219075</xdr:rowOff>
                  </to>
                </anchor>
              </controlPr>
            </control>
          </mc:Choice>
        </mc:AlternateContent>
        <mc:AlternateContent xmlns:mc="http://schemas.openxmlformats.org/markup-compatibility/2006">
          <mc:Choice Requires="x14">
            <control shapeId="3190" r:id="rId94" name="Option Button 118">
              <controlPr defaultSize="0" autoFill="0" autoLine="0" autoPict="0">
                <anchor moveWithCells="1">
                  <from>
                    <xdr:col>4</xdr:col>
                    <xdr:colOff>704850</xdr:colOff>
                    <xdr:row>5</xdr:row>
                    <xdr:rowOff>19050</xdr:rowOff>
                  </from>
                  <to>
                    <xdr:col>4</xdr:col>
                    <xdr:colOff>923925</xdr:colOff>
                    <xdr:row>5</xdr:row>
                    <xdr:rowOff>228600</xdr:rowOff>
                  </to>
                </anchor>
              </controlPr>
            </control>
          </mc:Choice>
        </mc:AlternateContent>
        <mc:AlternateContent xmlns:mc="http://schemas.openxmlformats.org/markup-compatibility/2006">
          <mc:Choice Requires="x14">
            <control shapeId="3191" r:id="rId95" name="Group Box 119">
              <controlPr defaultSize="0" autoFill="0" autoPict="0">
                <anchor moveWithCells="1">
                  <from>
                    <xdr:col>3</xdr:col>
                    <xdr:colOff>9525</xdr:colOff>
                    <xdr:row>6</xdr:row>
                    <xdr:rowOff>19050</xdr:rowOff>
                  </from>
                  <to>
                    <xdr:col>5</xdr:col>
                    <xdr:colOff>0</xdr:colOff>
                    <xdr:row>6</xdr:row>
                    <xdr:rowOff>247650</xdr:rowOff>
                  </to>
                </anchor>
              </controlPr>
            </control>
          </mc:Choice>
        </mc:AlternateContent>
        <mc:AlternateContent xmlns:mc="http://schemas.openxmlformats.org/markup-compatibility/2006">
          <mc:Choice Requires="x14">
            <control shapeId="3192" r:id="rId96" name="Option Button 120">
              <controlPr defaultSize="0" autoFill="0" autoLine="0" autoPict="0">
                <anchor moveWithCells="1">
                  <from>
                    <xdr:col>3</xdr:col>
                    <xdr:colOff>742950</xdr:colOff>
                    <xdr:row>6</xdr:row>
                    <xdr:rowOff>28575</xdr:rowOff>
                  </from>
                  <to>
                    <xdr:col>3</xdr:col>
                    <xdr:colOff>952500</xdr:colOff>
                    <xdr:row>6</xdr:row>
                    <xdr:rowOff>219075</xdr:rowOff>
                  </to>
                </anchor>
              </controlPr>
            </control>
          </mc:Choice>
        </mc:AlternateContent>
        <mc:AlternateContent xmlns:mc="http://schemas.openxmlformats.org/markup-compatibility/2006">
          <mc:Choice Requires="x14">
            <control shapeId="3194" r:id="rId97" name="Option Button 122">
              <controlPr defaultSize="0" autoFill="0" autoLine="0" autoPict="0">
                <anchor moveWithCells="1">
                  <from>
                    <xdr:col>4</xdr:col>
                    <xdr:colOff>714375</xdr:colOff>
                    <xdr:row>6</xdr:row>
                    <xdr:rowOff>38100</xdr:rowOff>
                  </from>
                  <to>
                    <xdr:col>4</xdr:col>
                    <xdr:colOff>914400</xdr:colOff>
                    <xdr:row>6</xdr:row>
                    <xdr:rowOff>209550</xdr:rowOff>
                  </to>
                </anchor>
              </controlPr>
            </control>
          </mc:Choice>
        </mc:AlternateContent>
        <mc:AlternateContent xmlns:mc="http://schemas.openxmlformats.org/markup-compatibility/2006">
          <mc:Choice Requires="x14">
            <control shapeId="3195" r:id="rId98" name="Group Box 123">
              <controlPr defaultSize="0" autoFill="0" autoPict="0">
                <anchor moveWithCells="1">
                  <from>
                    <xdr:col>3</xdr:col>
                    <xdr:colOff>9525</xdr:colOff>
                    <xdr:row>44</xdr:row>
                    <xdr:rowOff>9525</xdr:rowOff>
                  </from>
                  <to>
                    <xdr:col>5</xdr:col>
                    <xdr:colOff>0</xdr:colOff>
                    <xdr:row>45</xdr:row>
                    <xdr:rowOff>0</xdr:rowOff>
                  </to>
                </anchor>
              </controlPr>
            </control>
          </mc:Choice>
        </mc:AlternateContent>
        <mc:AlternateContent xmlns:mc="http://schemas.openxmlformats.org/markup-compatibility/2006">
          <mc:Choice Requires="x14">
            <control shapeId="3196" r:id="rId99" name="Group Box 124">
              <controlPr defaultSize="0" autoFill="0" autoPict="0">
                <anchor moveWithCells="1">
                  <from>
                    <xdr:col>3</xdr:col>
                    <xdr:colOff>9525</xdr:colOff>
                    <xdr:row>45</xdr:row>
                    <xdr:rowOff>9525</xdr:rowOff>
                  </from>
                  <to>
                    <xdr:col>5</xdr:col>
                    <xdr:colOff>0</xdr:colOff>
                    <xdr:row>46</xdr:row>
                    <xdr:rowOff>0</xdr:rowOff>
                  </to>
                </anchor>
              </controlPr>
            </control>
          </mc:Choice>
        </mc:AlternateContent>
        <mc:AlternateContent xmlns:mc="http://schemas.openxmlformats.org/markup-compatibility/2006">
          <mc:Choice Requires="x14">
            <control shapeId="3197" r:id="rId100" name="Option Button 125">
              <controlPr defaultSize="0" autoFill="0" autoLine="0" autoPict="0">
                <anchor moveWithCells="1">
                  <from>
                    <xdr:col>3</xdr:col>
                    <xdr:colOff>742950</xdr:colOff>
                    <xdr:row>44</xdr:row>
                    <xdr:rowOff>28575</xdr:rowOff>
                  </from>
                  <to>
                    <xdr:col>3</xdr:col>
                    <xdr:colOff>962025</xdr:colOff>
                    <xdr:row>44</xdr:row>
                    <xdr:rowOff>219075</xdr:rowOff>
                  </to>
                </anchor>
              </controlPr>
            </control>
          </mc:Choice>
        </mc:AlternateContent>
        <mc:AlternateContent xmlns:mc="http://schemas.openxmlformats.org/markup-compatibility/2006">
          <mc:Choice Requires="x14">
            <control shapeId="3198" r:id="rId101" name="Option Button 126">
              <controlPr defaultSize="0" autoFill="0" autoLine="0" autoPict="0">
                <anchor moveWithCells="1">
                  <from>
                    <xdr:col>4</xdr:col>
                    <xdr:colOff>723900</xdr:colOff>
                    <xdr:row>44</xdr:row>
                    <xdr:rowOff>28575</xdr:rowOff>
                  </from>
                  <to>
                    <xdr:col>4</xdr:col>
                    <xdr:colOff>904875</xdr:colOff>
                    <xdr:row>44</xdr:row>
                    <xdr:rowOff>219075</xdr:rowOff>
                  </to>
                </anchor>
              </controlPr>
            </control>
          </mc:Choice>
        </mc:AlternateContent>
        <mc:AlternateContent xmlns:mc="http://schemas.openxmlformats.org/markup-compatibility/2006">
          <mc:Choice Requires="x14">
            <control shapeId="3199" r:id="rId102" name="Option Button 127">
              <controlPr defaultSize="0" autoFill="0" autoLine="0" autoPict="0">
                <anchor moveWithCells="1">
                  <from>
                    <xdr:col>3</xdr:col>
                    <xdr:colOff>752475</xdr:colOff>
                    <xdr:row>45</xdr:row>
                    <xdr:rowOff>28575</xdr:rowOff>
                  </from>
                  <to>
                    <xdr:col>3</xdr:col>
                    <xdr:colOff>952500</xdr:colOff>
                    <xdr:row>45</xdr:row>
                    <xdr:rowOff>209550</xdr:rowOff>
                  </to>
                </anchor>
              </controlPr>
            </control>
          </mc:Choice>
        </mc:AlternateContent>
        <mc:AlternateContent xmlns:mc="http://schemas.openxmlformats.org/markup-compatibility/2006">
          <mc:Choice Requires="x14">
            <control shapeId="3200" r:id="rId103" name="Option Button 128">
              <controlPr defaultSize="0" autoFill="0" autoLine="0" autoPict="0">
                <anchor moveWithCells="1">
                  <from>
                    <xdr:col>4</xdr:col>
                    <xdr:colOff>723900</xdr:colOff>
                    <xdr:row>45</xdr:row>
                    <xdr:rowOff>19050</xdr:rowOff>
                  </from>
                  <to>
                    <xdr:col>4</xdr:col>
                    <xdr:colOff>923925</xdr:colOff>
                    <xdr:row>45</xdr:row>
                    <xdr:rowOff>209550</xdr:rowOff>
                  </to>
                </anchor>
              </controlPr>
            </control>
          </mc:Choice>
        </mc:AlternateContent>
        <mc:AlternateContent xmlns:mc="http://schemas.openxmlformats.org/markup-compatibility/2006">
          <mc:Choice Requires="x14">
            <control shapeId="3201" r:id="rId104" name="Group Box 129">
              <controlPr defaultSize="0" autoFill="0" autoPict="0">
                <anchor moveWithCells="1">
                  <from>
                    <xdr:col>3</xdr:col>
                    <xdr:colOff>9525</xdr:colOff>
                    <xdr:row>46</xdr:row>
                    <xdr:rowOff>9525</xdr:rowOff>
                  </from>
                  <to>
                    <xdr:col>4</xdr:col>
                    <xdr:colOff>952500</xdr:colOff>
                    <xdr:row>47</xdr:row>
                    <xdr:rowOff>0</xdr:rowOff>
                  </to>
                </anchor>
              </controlPr>
            </control>
          </mc:Choice>
        </mc:AlternateContent>
        <mc:AlternateContent xmlns:mc="http://schemas.openxmlformats.org/markup-compatibility/2006">
          <mc:Choice Requires="x14">
            <control shapeId="3202" r:id="rId105" name="Option Button 130">
              <controlPr defaultSize="0" autoFill="0" autoLine="0" autoPict="0">
                <anchor moveWithCells="1">
                  <from>
                    <xdr:col>3</xdr:col>
                    <xdr:colOff>752475</xdr:colOff>
                    <xdr:row>46</xdr:row>
                    <xdr:rowOff>38100</xdr:rowOff>
                  </from>
                  <to>
                    <xdr:col>3</xdr:col>
                    <xdr:colOff>962025</xdr:colOff>
                    <xdr:row>46</xdr:row>
                    <xdr:rowOff>228600</xdr:rowOff>
                  </to>
                </anchor>
              </controlPr>
            </control>
          </mc:Choice>
        </mc:AlternateContent>
        <mc:AlternateContent xmlns:mc="http://schemas.openxmlformats.org/markup-compatibility/2006">
          <mc:Choice Requires="x14">
            <control shapeId="3203" r:id="rId106" name="Option Button 131">
              <controlPr defaultSize="0" autoFill="0" autoLine="0" autoPict="0">
                <anchor moveWithCells="1">
                  <from>
                    <xdr:col>4</xdr:col>
                    <xdr:colOff>714375</xdr:colOff>
                    <xdr:row>46</xdr:row>
                    <xdr:rowOff>38100</xdr:rowOff>
                  </from>
                  <to>
                    <xdr:col>4</xdr:col>
                    <xdr:colOff>933450</xdr:colOff>
                    <xdr:row>46</xdr:row>
                    <xdr:rowOff>219075</xdr:rowOff>
                  </to>
                </anchor>
              </controlPr>
            </control>
          </mc:Choice>
        </mc:AlternateContent>
        <mc:AlternateContent xmlns:mc="http://schemas.openxmlformats.org/markup-compatibility/2006">
          <mc:Choice Requires="x14">
            <control shapeId="3204" r:id="rId107" name="Group Box 132">
              <controlPr defaultSize="0" autoFill="0" autoPict="0">
                <anchor moveWithCells="1">
                  <from>
                    <xdr:col>2</xdr:col>
                    <xdr:colOff>1752600</xdr:colOff>
                    <xdr:row>47</xdr:row>
                    <xdr:rowOff>9525</xdr:rowOff>
                  </from>
                  <to>
                    <xdr:col>5</xdr:col>
                    <xdr:colOff>0</xdr:colOff>
                    <xdr:row>48</xdr:row>
                    <xdr:rowOff>0</xdr:rowOff>
                  </to>
                </anchor>
              </controlPr>
            </control>
          </mc:Choice>
        </mc:AlternateContent>
        <mc:AlternateContent xmlns:mc="http://schemas.openxmlformats.org/markup-compatibility/2006">
          <mc:Choice Requires="x14">
            <control shapeId="3205" r:id="rId108" name="Option Button 133">
              <controlPr defaultSize="0" autoFill="0" autoLine="0" autoPict="0">
                <anchor moveWithCells="1">
                  <from>
                    <xdr:col>3</xdr:col>
                    <xdr:colOff>752475</xdr:colOff>
                    <xdr:row>47</xdr:row>
                    <xdr:rowOff>28575</xdr:rowOff>
                  </from>
                  <to>
                    <xdr:col>3</xdr:col>
                    <xdr:colOff>962025</xdr:colOff>
                    <xdr:row>47</xdr:row>
                    <xdr:rowOff>228600</xdr:rowOff>
                  </to>
                </anchor>
              </controlPr>
            </control>
          </mc:Choice>
        </mc:AlternateContent>
        <mc:AlternateContent xmlns:mc="http://schemas.openxmlformats.org/markup-compatibility/2006">
          <mc:Choice Requires="x14">
            <control shapeId="3206" r:id="rId109" name="Option Button 134">
              <controlPr defaultSize="0" autoFill="0" autoLine="0" autoPict="0">
                <anchor moveWithCells="1">
                  <from>
                    <xdr:col>4</xdr:col>
                    <xdr:colOff>714375</xdr:colOff>
                    <xdr:row>47</xdr:row>
                    <xdr:rowOff>38100</xdr:rowOff>
                  </from>
                  <to>
                    <xdr:col>4</xdr:col>
                    <xdr:colOff>923925</xdr:colOff>
                    <xdr:row>47</xdr:row>
                    <xdr:rowOff>228600</xdr:rowOff>
                  </to>
                </anchor>
              </controlPr>
            </control>
          </mc:Choice>
        </mc:AlternateContent>
        <mc:AlternateContent xmlns:mc="http://schemas.openxmlformats.org/markup-compatibility/2006">
          <mc:Choice Requires="x14">
            <control shapeId="3207" r:id="rId110" name="Group Box 135">
              <controlPr defaultSize="0" autoFill="0" autoPict="0">
                <anchor moveWithCells="1">
                  <from>
                    <xdr:col>3</xdr:col>
                    <xdr:colOff>9525</xdr:colOff>
                    <xdr:row>58</xdr:row>
                    <xdr:rowOff>9525</xdr:rowOff>
                  </from>
                  <to>
                    <xdr:col>5</xdr:col>
                    <xdr:colOff>0</xdr:colOff>
                    <xdr:row>59</xdr:row>
                    <xdr:rowOff>0</xdr:rowOff>
                  </to>
                </anchor>
              </controlPr>
            </control>
          </mc:Choice>
        </mc:AlternateContent>
        <mc:AlternateContent xmlns:mc="http://schemas.openxmlformats.org/markup-compatibility/2006">
          <mc:Choice Requires="x14">
            <control shapeId="3208" r:id="rId111" name="Option Button 136">
              <controlPr defaultSize="0" autoFill="0" autoLine="0" autoPict="0">
                <anchor moveWithCells="1">
                  <from>
                    <xdr:col>3</xdr:col>
                    <xdr:colOff>742950</xdr:colOff>
                    <xdr:row>58</xdr:row>
                    <xdr:rowOff>28575</xdr:rowOff>
                  </from>
                  <to>
                    <xdr:col>3</xdr:col>
                    <xdr:colOff>933450</xdr:colOff>
                    <xdr:row>58</xdr:row>
                    <xdr:rowOff>238125</xdr:rowOff>
                  </to>
                </anchor>
              </controlPr>
            </control>
          </mc:Choice>
        </mc:AlternateContent>
        <mc:AlternateContent xmlns:mc="http://schemas.openxmlformats.org/markup-compatibility/2006">
          <mc:Choice Requires="x14">
            <control shapeId="3209" r:id="rId112" name="Option Button 137">
              <controlPr defaultSize="0" autoFill="0" autoLine="0" autoPict="0">
                <anchor moveWithCells="1">
                  <from>
                    <xdr:col>4</xdr:col>
                    <xdr:colOff>723900</xdr:colOff>
                    <xdr:row>58</xdr:row>
                    <xdr:rowOff>9525</xdr:rowOff>
                  </from>
                  <to>
                    <xdr:col>4</xdr:col>
                    <xdr:colOff>895350</xdr:colOff>
                    <xdr:row>58</xdr:row>
                    <xdr:rowOff>219075</xdr:rowOff>
                  </to>
                </anchor>
              </controlPr>
            </control>
          </mc:Choice>
        </mc:AlternateContent>
        <mc:AlternateContent xmlns:mc="http://schemas.openxmlformats.org/markup-compatibility/2006">
          <mc:Choice Requires="x14">
            <control shapeId="3210" r:id="rId113" name="Group Box 138">
              <controlPr defaultSize="0" autoFill="0" autoPict="0">
                <anchor moveWithCells="1">
                  <from>
                    <xdr:col>3</xdr:col>
                    <xdr:colOff>9525</xdr:colOff>
                    <xdr:row>59</xdr:row>
                    <xdr:rowOff>9525</xdr:rowOff>
                  </from>
                  <to>
                    <xdr:col>5</xdr:col>
                    <xdr:colOff>0</xdr:colOff>
                    <xdr:row>60</xdr:row>
                    <xdr:rowOff>0</xdr:rowOff>
                  </to>
                </anchor>
              </controlPr>
            </control>
          </mc:Choice>
        </mc:AlternateContent>
        <mc:AlternateContent xmlns:mc="http://schemas.openxmlformats.org/markup-compatibility/2006">
          <mc:Choice Requires="x14">
            <control shapeId="3211" r:id="rId114" name="Option Button 139">
              <controlPr defaultSize="0" autoFill="0" autoLine="0" autoPict="0">
                <anchor moveWithCells="1">
                  <from>
                    <xdr:col>3</xdr:col>
                    <xdr:colOff>742950</xdr:colOff>
                    <xdr:row>59</xdr:row>
                    <xdr:rowOff>28575</xdr:rowOff>
                  </from>
                  <to>
                    <xdr:col>3</xdr:col>
                    <xdr:colOff>923925</xdr:colOff>
                    <xdr:row>59</xdr:row>
                    <xdr:rowOff>219075</xdr:rowOff>
                  </to>
                </anchor>
              </controlPr>
            </control>
          </mc:Choice>
        </mc:AlternateContent>
        <mc:AlternateContent xmlns:mc="http://schemas.openxmlformats.org/markup-compatibility/2006">
          <mc:Choice Requires="x14">
            <control shapeId="3212" r:id="rId115" name="Option Button 140">
              <controlPr defaultSize="0" autoFill="0" autoLine="0" autoPict="0">
                <anchor moveWithCells="1">
                  <from>
                    <xdr:col>4</xdr:col>
                    <xdr:colOff>733425</xdr:colOff>
                    <xdr:row>59</xdr:row>
                    <xdr:rowOff>9525</xdr:rowOff>
                  </from>
                  <to>
                    <xdr:col>4</xdr:col>
                    <xdr:colOff>923925</xdr:colOff>
                    <xdr:row>59</xdr:row>
                    <xdr:rowOff>219075</xdr:rowOff>
                  </to>
                </anchor>
              </controlPr>
            </control>
          </mc:Choice>
        </mc:AlternateContent>
        <mc:AlternateContent xmlns:mc="http://schemas.openxmlformats.org/markup-compatibility/2006">
          <mc:Choice Requires="x14">
            <control shapeId="3213" r:id="rId116" name="Group Box 141">
              <controlPr defaultSize="0" autoFill="0" autoPict="0">
                <anchor moveWithCells="1">
                  <from>
                    <xdr:col>3</xdr:col>
                    <xdr:colOff>9525</xdr:colOff>
                    <xdr:row>60</xdr:row>
                    <xdr:rowOff>19050</xdr:rowOff>
                  </from>
                  <to>
                    <xdr:col>4</xdr:col>
                    <xdr:colOff>952500</xdr:colOff>
                    <xdr:row>61</xdr:row>
                    <xdr:rowOff>0</xdr:rowOff>
                  </to>
                </anchor>
              </controlPr>
            </control>
          </mc:Choice>
        </mc:AlternateContent>
        <mc:AlternateContent xmlns:mc="http://schemas.openxmlformats.org/markup-compatibility/2006">
          <mc:Choice Requires="x14">
            <control shapeId="3214" r:id="rId117" name="Option Button 142">
              <controlPr defaultSize="0" autoFill="0" autoLine="0" autoPict="0">
                <anchor moveWithCells="1">
                  <from>
                    <xdr:col>3</xdr:col>
                    <xdr:colOff>742950</xdr:colOff>
                    <xdr:row>60</xdr:row>
                    <xdr:rowOff>28575</xdr:rowOff>
                  </from>
                  <to>
                    <xdr:col>3</xdr:col>
                    <xdr:colOff>923925</xdr:colOff>
                    <xdr:row>60</xdr:row>
                    <xdr:rowOff>228600</xdr:rowOff>
                  </to>
                </anchor>
              </controlPr>
            </control>
          </mc:Choice>
        </mc:AlternateContent>
        <mc:AlternateContent xmlns:mc="http://schemas.openxmlformats.org/markup-compatibility/2006">
          <mc:Choice Requires="x14">
            <control shapeId="3215" r:id="rId118" name="Option Button 143">
              <controlPr defaultSize="0" autoFill="0" autoLine="0" autoPict="0">
                <anchor moveWithCells="1">
                  <from>
                    <xdr:col>4</xdr:col>
                    <xdr:colOff>723900</xdr:colOff>
                    <xdr:row>60</xdr:row>
                    <xdr:rowOff>38100</xdr:rowOff>
                  </from>
                  <to>
                    <xdr:col>4</xdr:col>
                    <xdr:colOff>914400</xdr:colOff>
                    <xdr:row>60</xdr:row>
                    <xdr:rowOff>238125</xdr:rowOff>
                  </to>
                </anchor>
              </controlPr>
            </control>
          </mc:Choice>
        </mc:AlternateContent>
        <mc:AlternateContent xmlns:mc="http://schemas.openxmlformats.org/markup-compatibility/2006">
          <mc:Choice Requires="x14">
            <control shapeId="3216" r:id="rId119" name="Group Box 144">
              <controlPr defaultSize="0" autoFill="0" autoPict="0">
                <anchor moveWithCells="1">
                  <from>
                    <xdr:col>3</xdr:col>
                    <xdr:colOff>9525</xdr:colOff>
                    <xdr:row>61</xdr:row>
                    <xdr:rowOff>19050</xdr:rowOff>
                  </from>
                  <to>
                    <xdr:col>5</xdr:col>
                    <xdr:colOff>0</xdr:colOff>
                    <xdr:row>62</xdr:row>
                    <xdr:rowOff>0</xdr:rowOff>
                  </to>
                </anchor>
              </controlPr>
            </control>
          </mc:Choice>
        </mc:AlternateContent>
        <mc:AlternateContent xmlns:mc="http://schemas.openxmlformats.org/markup-compatibility/2006">
          <mc:Choice Requires="x14">
            <control shapeId="3220" r:id="rId120" name="Option Button 148">
              <controlPr defaultSize="0" autoFill="0" autoLine="0" autoPict="0">
                <anchor moveWithCells="1">
                  <from>
                    <xdr:col>3</xdr:col>
                    <xdr:colOff>742950</xdr:colOff>
                    <xdr:row>61</xdr:row>
                    <xdr:rowOff>38100</xdr:rowOff>
                  </from>
                  <to>
                    <xdr:col>3</xdr:col>
                    <xdr:colOff>933450</xdr:colOff>
                    <xdr:row>61</xdr:row>
                    <xdr:rowOff>200025</xdr:rowOff>
                  </to>
                </anchor>
              </controlPr>
            </control>
          </mc:Choice>
        </mc:AlternateContent>
        <mc:AlternateContent xmlns:mc="http://schemas.openxmlformats.org/markup-compatibility/2006">
          <mc:Choice Requires="x14">
            <control shapeId="3221" r:id="rId121" name="Option Button 149">
              <controlPr defaultSize="0" autoFill="0" autoLine="0" autoPict="0">
                <anchor moveWithCells="1">
                  <from>
                    <xdr:col>4</xdr:col>
                    <xdr:colOff>733425</xdr:colOff>
                    <xdr:row>61</xdr:row>
                    <xdr:rowOff>38100</xdr:rowOff>
                  </from>
                  <to>
                    <xdr:col>4</xdr:col>
                    <xdr:colOff>923925</xdr:colOff>
                    <xdr:row>61</xdr:row>
                    <xdr:rowOff>209550</xdr:rowOff>
                  </to>
                </anchor>
              </controlPr>
            </control>
          </mc:Choice>
        </mc:AlternateContent>
        <mc:AlternateContent xmlns:mc="http://schemas.openxmlformats.org/markup-compatibility/2006">
          <mc:Choice Requires="x14">
            <control shapeId="3222" r:id="rId122" name="Group Box 150">
              <controlPr defaultSize="0" autoFill="0" autoPict="0">
                <anchor moveWithCells="1">
                  <from>
                    <xdr:col>3</xdr:col>
                    <xdr:colOff>9525</xdr:colOff>
                    <xdr:row>62</xdr:row>
                    <xdr:rowOff>9525</xdr:rowOff>
                  </from>
                  <to>
                    <xdr:col>5</xdr:col>
                    <xdr:colOff>9525</xdr:colOff>
                    <xdr:row>63</xdr:row>
                    <xdr:rowOff>9525</xdr:rowOff>
                  </to>
                </anchor>
              </controlPr>
            </control>
          </mc:Choice>
        </mc:AlternateContent>
        <mc:AlternateContent xmlns:mc="http://schemas.openxmlformats.org/markup-compatibility/2006">
          <mc:Choice Requires="x14">
            <control shapeId="3223" r:id="rId123" name="Option Button 151">
              <controlPr defaultSize="0" autoFill="0" autoLine="0" autoPict="0">
                <anchor moveWithCells="1">
                  <from>
                    <xdr:col>3</xdr:col>
                    <xdr:colOff>752475</xdr:colOff>
                    <xdr:row>62</xdr:row>
                    <xdr:rowOff>19050</xdr:rowOff>
                  </from>
                  <to>
                    <xdr:col>3</xdr:col>
                    <xdr:colOff>942975</xdr:colOff>
                    <xdr:row>62</xdr:row>
                    <xdr:rowOff>209550</xdr:rowOff>
                  </to>
                </anchor>
              </controlPr>
            </control>
          </mc:Choice>
        </mc:AlternateContent>
        <mc:AlternateContent xmlns:mc="http://schemas.openxmlformats.org/markup-compatibility/2006">
          <mc:Choice Requires="x14">
            <control shapeId="3224" r:id="rId124" name="Option Button 152">
              <controlPr defaultSize="0" autoFill="0" autoLine="0" autoPict="0">
                <anchor moveWithCells="1">
                  <from>
                    <xdr:col>4</xdr:col>
                    <xdr:colOff>733425</xdr:colOff>
                    <xdr:row>62</xdr:row>
                    <xdr:rowOff>28575</xdr:rowOff>
                  </from>
                  <to>
                    <xdr:col>4</xdr:col>
                    <xdr:colOff>914400</xdr:colOff>
                    <xdr:row>62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B3:BT112"/>
  <sheetViews>
    <sheetView showGridLines="0" zoomScale="75" zoomScaleNormal="75" workbookViewId="0">
      <selection activeCell="D36" sqref="D36"/>
    </sheetView>
  </sheetViews>
  <sheetFormatPr defaultRowHeight="15" x14ac:dyDescent="0.25"/>
  <cols>
    <col min="2" max="2" width="23" customWidth="1"/>
    <col min="3" max="3" width="30.85546875" customWidth="1"/>
    <col min="5" max="5" width="13.42578125" customWidth="1"/>
    <col min="8" max="8" width="17" customWidth="1"/>
    <col min="10" max="10" width="22.7109375" customWidth="1"/>
    <col min="11" max="11" width="28.5703125" customWidth="1"/>
    <col min="12" max="12" width="19.7109375" customWidth="1"/>
    <col min="14" max="14" width="20.85546875" customWidth="1"/>
    <col min="15" max="15" width="11.28515625" customWidth="1"/>
    <col min="17" max="17" width="20.140625" customWidth="1"/>
    <col min="18" max="18" width="11.7109375" customWidth="1"/>
    <col min="20" max="20" width="20.42578125" customWidth="1"/>
    <col min="21" max="21" width="10" customWidth="1"/>
    <col min="23" max="23" width="20.28515625" customWidth="1"/>
    <col min="24" max="24" width="11.140625" customWidth="1"/>
    <col min="26" max="26" width="20.28515625" customWidth="1"/>
    <col min="27" max="27" width="9.85546875" customWidth="1"/>
    <col min="29" max="29" width="20.140625" customWidth="1"/>
    <col min="30" max="30" width="10.42578125" customWidth="1"/>
    <col min="32" max="32" width="20.140625" customWidth="1"/>
    <col min="33" max="33" width="11.7109375" customWidth="1"/>
    <col min="35" max="35" width="20.28515625" customWidth="1"/>
    <col min="36" max="36" width="10.7109375" customWidth="1"/>
    <col min="38" max="38" width="20.28515625" customWidth="1"/>
    <col min="39" max="39" width="12.5703125" customWidth="1"/>
    <col min="41" max="41" width="19.85546875" customWidth="1"/>
    <col min="42" max="42" width="11" customWidth="1"/>
    <col min="44" max="44" width="20" customWidth="1"/>
    <col min="45" max="45" width="10.85546875" customWidth="1"/>
    <col min="47" max="47" width="20.42578125" customWidth="1"/>
    <col min="48" max="48" width="10.28515625" customWidth="1"/>
    <col min="50" max="50" width="20" customWidth="1"/>
    <col min="51" max="51" width="11.140625" customWidth="1"/>
    <col min="53" max="53" width="20.140625" customWidth="1"/>
    <col min="54" max="54" width="10.85546875" customWidth="1"/>
    <col min="56" max="56" width="19.85546875" customWidth="1"/>
    <col min="57" max="57" width="11.28515625" customWidth="1"/>
    <col min="59" max="59" width="20" customWidth="1"/>
    <col min="60" max="60" width="11.7109375" customWidth="1"/>
    <col min="62" max="62" width="19.85546875" customWidth="1"/>
    <col min="63" max="63" width="11" customWidth="1"/>
    <col min="65" max="65" width="20.140625" customWidth="1"/>
    <col min="66" max="66" width="11.5703125" customWidth="1"/>
    <col min="68" max="68" width="20.140625" customWidth="1"/>
    <col min="69" max="69" width="11" customWidth="1"/>
    <col min="71" max="71" width="20.140625" customWidth="1"/>
    <col min="72" max="72" width="11.7109375" customWidth="1"/>
  </cols>
  <sheetData>
    <row r="3" spans="2:18" x14ac:dyDescent="0.25">
      <c r="B3" s="565" t="s">
        <v>102</v>
      </c>
      <c r="C3" s="565"/>
      <c r="D3" s="19" t="s">
        <v>95</v>
      </c>
      <c r="E3" s="19" t="s">
        <v>96</v>
      </c>
      <c r="F3" s="19" t="s">
        <v>97</v>
      </c>
      <c r="G3" s="19" t="s">
        <v>273</v>
      </c>
      <c r="H3" s="19" t="s">
        <v>98</v>
      </c>
      <c r="J3" s="565" t="s">
        <v>104</v>
      </c>
      <c r="K3" s="565"/>
      <c r="L3" s="19" t="s">
        <v>105</v>
      </c>
      <c r="N3" s="565" t="s">
        <v>113</v>
      </c>
      <c r="O3" s="565"/>
      <c r="P3" s="565"/>
      <c r="Q3" s="565"/>
      <c r="R3" s="565"/>
    </row>
    <row r="4" spans="2:18" x14ac:dyDescent="0.25">
      <c r="B4" s="694" t="s">
        <v>81</v>
      </c>
      <c r="C4" s="14" t="s">
        <v>82</v>
      </c>
      <c r="D4" s="70">
        <f>'R2U_Ref'!E87*2</f>
        <v>24</v>
      </c>
      <c r="E4" s="101">
        <v>0</v>
      </c>
      <c r="F4" s="32" t="s">
        <v>235</v>
      </c>
      <c r="G4" s="229">
        <f>'R2U_Setup'!F25</f>
        <v>3.16</v>
      </c>
      <c r="H4" s="229">
        <f>E4*G4</f>
        <v>0</v>
      </c>
      <c r="J4" s="695" t="s">
        <v>103</v>
      </c>
      <c r="K4" s="14" t="s">
        <v>106</v>
      </c>
      <c r="L4" s="72">
        <f>IF('R2U_Ref'!E67=1,'R2U_Calculations'!L5*'R2U_Calculations'!L6*365*10^(-6)*EXP(-0.312),IF('R2U_Ref'!E67=2,'R2U_Setup'!I72,"Non Selected"))</f>
        <v>9.4520555145663557E-2</v>
      </c>
      <c r="N4" s="691" t="s">
        <v>129</v>
      </c>
      <c r="O4" s="691"/>
      <c r="Q4" s="691" t="s">
        <v>130</v>
      </c>
      <c r="R4" s="691"/>
    </row>
    <row r="5" spans="2:18" x14ac:dyDescent="0.25">
      <c r="B5" s="694"/>
      <c r="C5" s="14" t="s">
        <v>83</v>
      </c>
      <c r="D5" s="70">
        <f>'R2U_Ref'!E87*2</f>
        <v>24</v>
      </c>
      <c r="E5" s="101">
        <v>0</v>
      </c>
      <c r="F5" s="32" t="s">
        <v>760</v>
      </c>
      <c r="G5" s="229">
        <v>100</v>
      </c>
      <c r="H5" s="229">
        <f t="shared" ref="H5:H27" si="0">E5*G5</f>
        <v>0</v>
      </c>
      <c r="J5" s="695"/>
      <c r="K5" s="14" t="s">
        <v>234</v>
      </c>
      <c r="L5" s="73">
        <f>'R2U_Project'!C4</f>
        <v>0.13300000000000001</v>
      </c>
      <c r="N5" s="13" t="s">
        <v>114</v>
      </c>
      <c r="O5" s="372">
        <f>'R2U_Ref'!E87</f>
        <v>12</v>
      </c>
      <c r="Q5" s="13" t="s">
        <v>114</v>
      </c>
      <c r="R5" s="372">
        <f>'R2U_Ref'!N7</f>
        <v>12</v>
      </c>
    </row>
    <row r="6" spans="2:18" x14ac:dyDescent="0.25">
      <c r="B6" s="694"/>
      <c r="C6" s="14" t="str">
        <f>IF('R2U_Ref'!J15=FALSE,"Widening","Widening (includes Passing Lanes)")</f>
        <v>Widening</v>
      </c>
      <c r="D6" s="70">
        <f>'R2U_Ref'!N7*2-'R2U_Ref'!E87*2</f>
        <v>0</v>
      </c>
      <c r="E6" s="101">
        <v>0</v>
      </c>
      <c r="F6" s="32" t="s">
        <v>760</v>
      </c>
      <c r="G6" s="229">
        <f>IF('R2U_Ref'!$C$14=1,'R2U_Setup'!$F$29,'R2U_Setup'!$F$27)</f>
        <v>100</v>
      </c>
      <c r="H6" s="229">
        <f t="shared" si="0"/>
        <v>0</v>
      </c>
      <c r="J6" s="695"/>
      <c r="K6" s="14" t="s">
        <v>60</v>
      </c>
      <c r="L6" s="74">
        <f>'R2U_Project'!C5</f>
        <v>2660</v>
      </c>
      <c r="N6" s="13" t="s">
        <v>115</v>
      </c>
      <c r="O6" s="79" t="str">
        <f>IF('R2U_Project'!$C$5&lt;400,"Below 400",IF('R2U_Project'!$C$5&gt;2000,"Above 2000","400 to 2000"))</f>
        <v>Above 2000</v>
      </c>
      <c r="Q6" s="13" t="s">
        <v>115</v>
      </c>
      <c r="R6" s="79" t="str">
        <f>IF('R2U_Project'!$C$5&lt;400,"Below 400",IF('R2U_Project'!$C$5&gt;2000,"Above 2000","400 to 2000"))</f>
        <v>Above 2000</v>
      </c>
    </row>
    <row r="7" spans="2:18" x14ac:dyDescent="0.25">
      <c r="B7" s="694"/>
      <c r="C7" s="14" t="str">
        <f>IF('R2U_Ref'!J15=FALSE,"Base","Base (includes Passing Lanes)")</f>
        <v>Base</v>
      </c>
      <c r="D7" s="70">
        <f>D6</f>
        <v>0</v>
      </c>
      <c r="E7" s="101">
        <v>0</v>
      </c>
      <c r="F7" s="32" t="s">
        <v>235</v>
      </c>
      <c r="G7" s="229">
        <f>'R2U_Setup'!F23</f>
        <v>17.12</v>
      </c>
      <c r="H7" s="229">
        <f t="shared" si="0"/>
        <v>0</v>
      </c>
      <c r="J7" s="560" t="s">
        <v>274</v>
      </c>
      <c r="K7" s="14" t="s">
        <v>59</v>
      </c>
      <c r="L7" s="110">
        <f>O9</f>
        <v>1</v>
      </c>
      <c r="N7" s="13" t="s">
        <v>116</v>
      </c>
      <c r="O7" s="80">
        <f>VLOOKUP(O5,'R2U_Ref'!$A$129:$D$135,VLOOKUP('R2U_Calculations'!O6,'R2U_Ref'!$A$136:$B$138,2))</f>
        <v>1</v>
      </c>
      <c r="Q7" s="13" t="s">
        <v>116</v>
      </c>
      <c r="R7" s="80">
        <f>VLOOKUP(R5,'R2U_Ref'!$A$129:$D$135,VLOOKUP('R2U_Calculations'!R6,'R2U_Ref'!$A$136:$B$138,2))</f>
        <v>1</v>
      </c>
    </row>
    <row r="8" spans="2:18" x14ac:dyDescent="0.25">
      <c r="B8" s="694"/>
      <c r="C8" s="14" t="s">
        <v>86</v>
      </c>
      <c r="D8" s="70">
        <f>IF(D6=0,IF('R2U_Ref'!N8-'R2U_Ref'!E97=0,0,(2*'R2U_Ref'!E87+2*'R2U_Ref'!E97-2*'R2U_Ref'!N7)),(2*'R2U_Ref'!E87+2*'R2U_Ref'!E97-2*'R2U_Ref'!N7))</f>
        <v>0</v>
      </c>
      <c r="E8" s="101">
        <f>IF('R2U_Ref'!N7&gt;'R2U_Ref'!E87,0,'R2U_Calculations'!D8*'R2U_Project'!C4*5280/9)</f>
        <v>0</v>
      </c>
      <c r="F8" s="32" t="s">
        <v>235</v>
      </c>
      <c r="G8" s="229">
        <f>'R2U_Setup'!F25</f>
        <v>3.16</v>
      </c>
      <c r="H8" s="229">
        <f t="shared" si="0"/>
        <v>0</v>
      </c>
      <c r="J8" s="561"/>
      <c r="K8" s="14" t="s">
        <v>107</v>
      </c>
      <c r="L8" s="110">
        <f>O19</f>
        <v>1.0873553499999999</v>
      </c>
      <c r="N8" s="13" t="s">
        <v>117</v>
      </c>
      <c r="O8" s="80">
        <f>$L$28+$L$31+$L$33</f>
        <v>0.54090000000000005</v>
      </c>
      <c r="Q8" s="13" t="s">
        <v>117</v>
      </c>
      <c r="R8" s="80">
        <f>$L$28+$L$31+$L$33</f>
        <v>0.54090000000000005</v>
      </c>
    </row>
    <row r="9" spans="2:18" x14ac:dyDescent="0.25">
      <c r="B9" s="694"/>
      <c r="C9" s="14" t="s">
        <v>87</v>
      </c>
      <c r="D9" s="70">
        <f>IF(D8=0,0,IF(D6&gt;0,0,'R2U_Ref'!E97*2))</f>
        <v>0</v>
      </c>
      <c r="E9" s="101">
        <f>IF('R2U_Ref'!C14=2,'R2U_Setup'!F13*'R2U_Calculations'!D9*'R2U_Project'!C4*115*5280*(1/9)*(1/2000),'R2U_Setup'!F13*'R2U_Calculations'!D9*5280*(1/9))</f>
        <v>0</v>
      </c>
      <c r="F9" s="32" t="s">
        <v>760</v>
      </c>
      <c r="G9" s="229">
        <f>IF('R2U_Ref'!$C$14=1,'R2U_Setup'!$F$29,'R2U_Setup'!$F$27)</f>
        <v>100</v>
      </c>
      <c r="H9" s="229">
        <f t="shared" si="0"/>
        <v>0</v>
      </c>
      <c r="J9" s="561"/>
      <c r="K9" s="14" t="s">
        <v>108</v>
      </c>
      <c r="L9" s="110">
        <f>IF('R2U_Ref'!$C$7=1,'R2U_Calculations'!O23*'R2U_Project'!G19/'R2U_Project'!C4*'R2U_Calculations'!O26+(1-'R2U_Calculations'!O23*'R2U_Project'!G19/'R2U_Project'!C4),IF('R2U_Project'!M14&lt;&gt;0,(('R2U_Calculations'!O23+2*C103)*'R2U_Calculations'!O26+('R2U_Calculations'!U23+2*C104)*'R2U_Calculations'!U26+('R2U_Calculations'!AA23+2*C105)*'R2U_Calculations'!AA26+('R2U_Calculations'!AG23+2*C106)*'R2U_Calculations'!AG26+('R2U_Calculations'!AM23+2*C107)*'R2U_Calculations'!AM26+('R2U_Calculations'!AS23+2*C108)*'R2U_Calculations'!AS26+('R2U_Calculations'!AY23+2*C109)*'R2U_Calculations'!AY26+('R2U_Calculations'!BE23+2*C110)*'R2U_Calculations'!BE26+('R2U_Calculations'!BK23+2*C111)*'R2U_Calculations'!BK26+('R2U_Calculations'!BQ23+2*C112)*'R2U_Calculations'!BQ26)/'R2U_Project'!C4+(1-('R2U_Calculations'!O23+U23+AA23+AG23+AM23+AS23+AY23+BE23+BK23+BQ23+2*SUM(C103:C112))/'R2U_Project'!C4),1))</f>
        <v>1</v>
      </c>
      <c r="N9" s="18" t="s">
        <v>118</v>
      </c>
      <c r="O9" s="81">
        <f>(O7-1)*O8+1</f>
        <v>1</v>
      </c>
      <c r="Q9" s="18" t="s">
        <v>118</v>
      </c>
      <c r="R9" s="81">
        <f>(R7-1)*R8+1</f>
        <v>1</v>
      </c>
    </row>
    <row r="10" spans="2:18" x14ac:dyDescent="0.25">
      <c r="B10" s="694"/>
      <c r="C10" s="14" t="s">
        <v>36</v>
      </c>
      <c r="D10" s="70">
        <v>4</v>
      </c>
      <c r="E10" s="101">
        <v>0</v>
      </c>
      <c r="F10" s="32" t="s">
        <v>236</v>
      </c>
      <c r="G10" s="229">
        <v>21.26</v>
      </c>
      <c r="H10" s="229">
        <f t="shared" si="0"/>
        <v>0</v>
      </c>
      <c r="J10" s="561"/>
      <c r="K10" s="14" t="s">
        <v>109</v>
      </c>
      <c r="L10" s="110">
        <f>IF('R2U_Ref'!$C$7=1,1,('R2U_Calculations'!O23*'R2U_Calculations'!O36+'R2U_Calculations'!U23*'R2U_Calculations'!U36+'R2U_Calculations'!AA23*'R2U_Calculations'!AA36+'R2U_Calculations'!AG23*'R2U_Calculations'!AG36+'R2U_Calculations'!AM23*'R2U_Calculations'!AM36+'R2U_Calculations'!AS23*'R2U_Calculations'!AS36+'R2U_Calculations'!AY23*'R2U_Calculations'!AY36+'R2U_Calculations'!BE23*'R2U_Calculations'!BE36+'R2U_Calculations'!BK23*'R2U_Calculations'!BK36+'R2U_Calculations'!BQ23*'R2U_Calculations'!BQ36)/'R2U_Project'!$C$4+(1-('R2U_Calculations'!O23+'R2U_Calculations'!U23+'R2U_Calculations'!AA23+'R2U_Calculations'!AG23+'R2U_Calculations'!AM23+'R2U_Calculations'!AS23+'R2U_Calculations'!AY23+'R2U_Calculations'!BE23+'R2U_Calculations'!BK23+'R2U_Calculations'!BQ23)/'R2U_Project'!$C$4))</f>
        <v>1</v>
      </c>
      <c r="N10" s="6"/>
      <c r="O10" s="7"/>
      <c r="Q10" s="6"/>
      <c r="R10" s="7"/>
    </row>
    <row r="11" spans="2:18" x14ac:dyDescent="0.25">
      <c r="B11" s="694"/>
      <c r="C11" s="14" t="s">
        <v>88</v>
      </c>
      <c r="D11" s="70">
        <f>D10</f>
        <v>4</v>
      </c>
      <c r="E11" s="101">
        <v>0</v>
      </c>
      <c r="F11" s="32" t="s">
        <v>235</v>
      </c>
      <c r="G11" s="229">
        <f>'R2U_Setup'!F23</f>
        <v>17.12</v>
      </c>
      <c r="H11" s="229">
        <f t="shared" si="0"/>
        <v>0</v>
      </c>
      <c r="J11" s="561"/>
      <c r="K11" s="14" t="s">
        <v>175</v>
      </c>
      <c r="L11" s="110">
        <f>O41</f>
        <v>1.01</v>
      </c>
      <c r="N11" s="565" t="s">
        <v>119</v>
      </c>
      <c r="O11" s="565"/>
      <c r="P11" s="565"/>
      <c r="Q11" s="565"/>
      <c r="R11" s="565"/>
    </row>
    <row r="12" spans="2:18" x14ac:dyDescent="0.25">
      <c r="B12" s="694"/>
      <c r="C12" s="14" t="s">
        <v>89</v>
      </c>
      <c r="D12" s="100"/>
      <c r="E12" s="101">
        <v>0</v>
      </c>
      <c r="F12" s="32" t="s">
        <v>760</v>
      </c>
      <c r="G12" s="229">
        <f>'R2U_Setup'!F31</f>
        <v>49.29</v>
      </c>
      <c r="H12" s="229">
        <f t="shared" si="0"/>
        <v>0</v>
      </c>
      <c r="J12" s="561"/>
      <c r="K12" s="14" t="s">
        <v>73</v>
      </c>
      <c r="L12" s="110">
        <f>O46</f>
        <v>1</v>
      </c>
      <c r="N12" s="691" t="s">
        <v>129</v>
      </c>
      <c r="O12" s="691"/>
      <c r="Q12" s="691" t="s">
        <v>130</v>
      </c>
      <c r="R12" s="691"/>
    </row>
    <row r="13" spans="2:18" x14ac:dyDescent="0.25">
      <c r="B13" s="16" t="s">
        <v>90</v>
      </c>
      <c r="C13" s="14" t="s">
        <v>91</v>
      </c>
      <c r="D13" s="100"/>
      <c r="E13" s="102">
        <v>262.5</v>
      </c>
      <c r="F13" s="32" t="s">
        <v>236</v>
      </c>
      <c r="G13" s="229">
        <v>40</v>
      </c>
      <c r="H13" s="229">
        <f t="shared" si="0"/>
        <v>10500</v>
      </c>
      <c r="J13" s="563"/>
      <c r="K13" s="14" t="s">
        <v>74</v>
      </c>
      <c r="L13" s="110">
        <f>O52</f>
        <v>1</v>
      </c>
      <c r="N13" s="13" t="s">
        <v>120</v>
      </c>
      <c r="O13" s="78">
        <f>'R2U_Ref'!E97</f>
        <v>4</v>
      </c>
      <c r="Q13" s="13" t="s">
        <v>120</v>
      </c>
      <c r="R13" s="78">
        <f>'R2U_Ref'!N8</f>
        <v>4</v>
      </c>
    </row>
    <row r="14" spans="2:18" x14ac:dyDescent="0.25">
      <c r="B14" s="695" t="s">
        <v>228</v>
      </c>
      <c r="C14" s="14" t="s">
        <v>93</v>
      </c>
      <c r="D14" s="67"/>
      <c r="E14" s="101"/>
      <c r="F14" s="69" t="s">
        <v>256</v>
      </c>
      <c r="G14" s="229">
        <f>'R2U_Setup'!F37</f>
        <v>0.5</v>
      </c>
      <c r="H14" s="229">
        <f t="shared" si="0"/>
        <v>0</v>
      </c>
      <c r="J14" s="616" t="s">
        <v>110</v>
      </c>
      <c r="K14" s="14" t="s">
        <v>413</v>
      </c>
      <c r="L14" s="387">
        <f>R63</f>
        <v>1</v>
      </c>
      <c r="N14" s="13" t="s">
        <v>115</v>
      </c>
      <c r="O14" s="79" t="str">
        <f>IF('R2U_Project'!$C$5&lt;400,"Below 400",IF('R2U_Project'!$C$5&gt;2000,"Above 2000","400 to 2000"))</f>
        <v>Above 2000</v>
      </c>
      <c r="Q14" s="13" t="s">
        <v>115</v>
      </c>
      <c r="R14" s="79" t="str">
        <f>IF('R2U_Project'!$C$5&lt;400,"Below 400",IF('R2U_Project'!$C$5&gt;2000,"Above 2000","400 to 2000"))</f>
        <v>Above 2000</v>
      </c>
    </row>
    <row r="15" spans="2:18" x14ac:dyDescent="0.25">
      <c r="B15" s="695"/>
      <c r="C15" s="14" t="s">
        <v>11</v>
      </c>
      <c r="D15" s="67"/>
      <c r="E15" s="101">
        <f>'R2U_Ref'!N12*'R2U_Project'!C4*5280*2</f>
        <v>0</v>
      </c>
      <c r="F15" s="69" t="s">
        <v>256</v>
      </c>
      <c r="G15" s="229">
        <f>'R2U_Setup'!F39</f>
        <v>0.4</v>
      </c>
      <c r="H15" s="229">
        <f t="shared" si="0"/>
        <v>0</v>
      </c>
      <c r="J15" s="696"/>
      <c r="K15" s="14" t="s">
        <v>59</v>
      </c>
      <c r="L15" s="110">
        <f>R9</f>
        <v>1</v>
      </c>
      <c r="N15" s="13" t="s">
        <v>121</v>
      </c>
      <c r="O15" s="1" t="str">
        <f>'R2U_Ref'!G92</f>
        <v>Unpaved</v>
      </c>
      <c r="Q15" s="13" t="s">
        <v>121</v>
      </c>
      <c r="R15" s="1" t="str">
        <f>'R2U_Ref'!I92</f>
        <v>Unpaved</v>
      </c>
    </row>
    <row r="16" spans="2:18" x14ac:dyDescent="0.25">
      <c r="B16" s="16" t="s">
        <v>229</v>
      </c>
      <c r="C16" s="14" t="s">
        <v>269</v>
      </c>
      <c r="D16" s="107">
        <v>4</v>
      </c>
      <c r="E16" s="101">
        <f>'R2U_Ref'!N13*'R2U_Project'!C4*('R2U_Project'!J32*0.25+'R2U_Project'!J33*1.25+'R2U_Project'!J34*2)*5280</f>
        <v>0</v>
      </c>
      <c r="F16" s="69" t="s">
        <v>256</v>
      </c>
      <c r="G16" s="229">
        <f>'R2U_Setup'!F41</f>
        <v>0.66</v>
      </c>
      <c r="H16" s="229">
        <f t="shared" si="0"/>
        <v>0</v>
      </c>
      <c r="J16" s="696"/>
      <c r="K16" s="14" t="s">
        <v>107</v>
      </c>
      <c r="L16" s="110">
        <f>R19</f>
        <v>1.0873553499999999</v>
      </c>
      <c r="N16" s="13" t="s">
        <v>123</v>
      </c>
      <c r="O16" s="80">
        <f>VLOOKUP(O13,'R2U_Ref'!$A$141:$D$149,VLOOKUP('R2U_Calculations'!O14,'R2U_Ref'!$A$152:$B$154,2))</f>
        <v>1.1499999999999999</v>
      </c>
      <c r="Q16" s="13" t="s">
        <v>123</v>
      </c>
      <c r="R16" s="80">
        <f>VLOOKUP(R13,'R2U_Ref'!$A$141:$D$149,VLOOKUP('R2U_Calculations'!R14,'R2U_Ref'!$A$152:$B$154,2))</f>
        <v>1.1499999999999999</v>
      </c>
    </row>
    <row r="17" spans="2:72" ht="15" customHeight="1" x14ac:dyDescent="0.25">
      <c r="B17" s="68" t="s">
        <v>267</v>
      </c>
      <c r="C17" s="14" t="s">
        <v>94</v>
      </c>
      <c r="D17" s="100"/>
      <c r="E17" s="108">
        <f>'R2U_Ref'!N13*ROUNDUP('R2U_Project'!J35*5280/'R2U_Setup'!F18,0)</f>
        <v>0</v>
      </c>
      <c r="F17" s="32" t="s">
        <v>268</v>
      </c>
      <c r="G17" s="229">
        <f>'R2U_Setup'!F43</f>
        <v>60</v>
      </c>
      <c r="H17" s="229">
        <f t="shared" si="0"/>
        <v>0</v>
      </c>
      <c r="J17" s="696"/>
      <c r="K17" s="14" t="s">
        <v>108</v>
      </c>
      <c r="L17" s="110">
        <f>IF('R2U_Ref'!$C$7=1,'R2U_Calculations'!R23*'R2U_Project'!G19/'R2U_Project'!C4*'R2U_Calculations'!R26+(1-'R2U_Calculations'!R23*'R2U_Project'!G19/'R2U_Project'!C4),((R23+2*C103)*R26+(X23+2*C104)*X26+(AD23+2*C105)*AD26+(AJ23+2*C106)*AJ26+(AP23+2*C107)*AP26+(AV23+2*C108)*AV26+(BB23+2*C109)*BB26+(BH23+2*C110)*BH26+(BN23+2*C111)*BN26+(BT23+2*C112)*BT26)/'R2U_Project'!C4+(1-('R2U_Calculations'!R23+X23+AD23+AJ23+AP23+AV23+BB23+BH23+BN23+BT23+2*SUM(C103:C112))/'R2U_Project'!C4))</f>
        <v>1</v>
      </c>
      <c r="N17" s="13" t="s">
        <v>122</v>
      </c>
      <c r="O17" s="1">
        <f>VLOOKUP('R2U_Ref'!A162,'R2U_Ref'!$A$158:$J$161,VLOOKUP('R2U_Calculations'!$O$13,'R2U_Ref'!$A$164:$B$172,2))</f>
        <v>1.01</v>
      </c>
      <c r="Q17" s="13" t="s">
        <v>122</v>
      </c>
      <c r="R17" s="1">
        <f>VLOOKUP('R2U_Ref'!B162,'R2U_Ref'!$A$158:$J$161,VLOOKUP(R13,'R2U_Ref'!$A$164:$B$172,2))</f>
        <v>1.01</v>
      </c>
    </row>
    <row r="18" spans="2:72" ht="15" customHeight="1" x14ac:dyDescent="0.25">
      <c r="B18" s="694" t="s">
        <v>230</v>
      </c>
      <c r="C18" s="21" t="s">
        <v>301</v>
      </c>
      <c r="D18" s="70">
        <v>24</v>
      </c>
      <c r="E18" s="101"/>
      <c r="F18" s="121" t="s">
        <v>760</v>
      </c>
      <c r="G18" s="229">
        <v>110</v>
      </c>
      <c r="H18" s="229">
        <f t="shared" si="0"/>
        <v>0</v>
      </c>
      <c r="J18" s="696"/>
      <c r="K18" s="14" t="s">
        <v>109</v>
      </c>
      <c r="L18" s="110">
        <f>IF('R2U_Ref'!$C$7=1,1,('R2U_Calculations'!R23*'R2U_Calculations'!R36+'R2U_Calculations'!X23*'R2U_Calculations'!X36+'R2U_Calculations'!AD23*'R2U_Calculations'!AD36+'R2U_Calculations'!AJ23*'R2U_Calculations'!AJ36+'R2U_Calculations'!AP23*'R2U_Calculations'!AP36+'R2U_Calculations'!AV23*'R2U_Calculations'!AV36+'R2U_Calculations'!BB23*'R2U_Calculations'!BB36+'R2U_Calculations'!BH23*'R2U_Calculations'!BH36+'R2U_Calculations'!BN23*'R2U_Calculations'!BN36+'R2U_Calculations'!BT23*'R2U_Calculations'!BT36)/'R2U_Project'!C4+(1-('R2U_Calculations'!R23+'R2U_Calculations'!X23+'R2U_Calculations'!AD23+'R2U_Calculations'!AJ23+'R2U_Calculations'!AP23+'R2U_Calculations'!AV23+'R2U_Calculations'!BB23+'R2U_Calculations'!BH23+'R2U_Calculations'!BN23+'R2U_Calculations'!BT23)/'R2U_Project'!C4))</f>
        <v>1</v>
      </c>
      <c r="N18" s="13" t="s">
        <v>117</v>
      </c>
      <c r="O18" s="80">
        <f>$L$28+$L$31+$L$33</f>
        <v>0.54090000000000005</v>
      </c>
      <c r="Q18" s="13" t="s">
        <v>117</v>
      </c>
      <c r="R18" s="80">
        <f>$L$28+$L$31+$L$33</f>
        <v>0.54090000000000005</v>
      </c>
    </row>
    <row r="19" spans="2:72" x14ac:dyDescent="0.25">
      <c r="B19" s="694"/>
      <c r="C19" s="21" t="s">
        <v>302</v>
      </c>
      <c r="D19" s="70">
        <f>IF(AND('R2U_Ref'!G8=TRUE,'R2U_Ref'!$C$7=2),2*('R2U_Ref'!$N$7+IF('R2U_Project'!$F$31="Paved Shoulder",'R2U_Ref'!$N$8,0)),0)</f>
        <v>0</v>
      </c>
      <c r="E19" s="101"/>
      <c r="F19" s="121" t="s">
        <v>760</v>
      </c>
      <c r="G19" s="229">
        <v>110</v>
      </c>
      <c r="H19" s="229">
        <f t="shared" si="0"/>
        <v>0</v>
      </c>
      <c r="J19" s="696"/>
      <c r="K19" s="14" t="s">
        <v>175</v>
      </c>
      <c r="L19" s="110">
        <f>R41</f>
        <v>1</v>
      </c>
      <c r="N19" s="18" t="s">
        <v>118</v>
      </c>
      <c r="O19" s="81">
        <f>(O16*O17-1)*O18+1</f>
        <v>1.0873553499999999</v>
      </c>
      <c r="Q19" s="18" t="s">
        <v>118</v>
      </c>
      <c r="R19" s="81">
        <f>(R16*R17-1)*R18+1</f>
        <v>1.0873553499999999</v>
      </c>
    </row>
    <row r="20" spans="2:72" x14ac:dyDescent="0.25">
      <c r="B20" s="694"/>
      <c r="C20" s="21" t="s">
        <v>303</v>
      </c>
      <c r="D20" s="70">
        <f>IF(AND('R2U_Ref'!G9=TRUE,'R2U_Ref'!$C$7=2),2*('R2U_Ref'!$N$7+IF('R2U_Project'!$F$31="Paved Shoulder",'R2U_Ref'!$N$8,0)),0)</f>
        <v>0</v>
      </c>
      <c r="E20" s="101">
        <v>0</v>
      </c>
      <c r="F20" s="121" t="s">
        <v>760</v>
      </c>
      <c r="G20" s="229">
        <v>110</v>
      </c>
      <c r="H20" s="229">
        <f t="shared" si="0"/>
        <v>0</v>
      </c>
      <c r="J20" s="696"/>
      <c r="K20" s="14" t="s">
        <v>73</v>
      </c>
      <c r="L20" s="110">
        <f>R46</f>
        <v>1</v>
      </c>
      <c r="N20" s="6"/>
      <c r="O20" s="7"/>
      <c r="Q20" s="6"/>
      <c r="R20" s="7"/>
    </row>
    <row r="21" spans="2:72" x14ac:dyDescent="0.25">
      <c r="B21" s="694"/>
      <c r="C21" s="21" t="s">
        <v>304</v>
      </c>
      <c r="D21" s="70">
        <f>IF(AND('R2U_Ref'!G10=TRUE,'R2U_Ref'!$C$7=2),2*('R2U_Ref'!$N$7+IF('R2U_Project'!$F$31="Paved Shoulder",'R2U_Ref'!$N$8,0)),0)</f>
        <v>0</v>
      </c>
      <c r="E21" s="101">
        <v>0</v>
      </c>
      <c r="F21" s="121" t="s">
        <v>760</v>
      </c>
      <c r="G21" s="229">
        <v>110</v>
      </c>
      <c r="H21" s="229">
        <f t="shared" si="0"/>
        <v>0</v>
      </c>
      <c r="J21" s="696"/>
      <c r="K21" s="14" t="s">
        <v>74</v>
      </c>
      <c r="L21" s="110">
        <f>R52</f>
        <v>1</v>
      </c>
      <c r="N21" s="565" t="str">
        <f>IF('R2U_Ref'!C7=1,"HORIZONTAL CURVE CMF","HORIZONTAL CURVE 1 CMF")</f>
        <v>HORIZONTAL CURVE CMF</v>
      </c>
      <c r="O21" s="565"/>
      <c r="P21" s="565"/>
      <c r="Q21" s="565"/>
      <c r="R21" s="565"/>
      <c r="T21" s="565" t="s">
        <v>124</v>
      </c>
      <c r="U21" s="565"/>
      <c r="V21" s="565"/>
      <c r="W21" s="565"/>
      <c r="X21" s="565"/>
      <c r="Z21" s="565" t="s">
        <v>162</v>
      </c>
      <c r="AA21" s="565"/>
      <c r="AB21" s="565"/>
      <c r="AC21" s="565"/>
      <c r="AD21" s="565"/>
      <c r="AF21" s="565" t="s">
        <v>164</v>
      </c>
      <c r="AG21" s="565"/>
      <c r="AH21" s="565"/>
      <c r="AI21" s="565"/>
      <c r="AJ21" s="565"/>
      <c r="AL21" s="565" t="s">
        <v>244</v>
      </c>
      <c r="AM21" s="565"/>
      <c r="AN21" s="565"/>
      <c r="AO21" s="565"/>
      <c r="AP21" s="565"/>
      <c r="AR21" s="565" t="s">
        <v>246</v>
      </c>
      <c r="AS21" s="565"/>
      <c r="AT21" s="565"/>
      <c r="AU21" s="565"/>
      <c r="AV21" s="565"/>
      <c r="AX21" s="565" t="s">
        <v>248</v>
      </c>
      <c r="AY21" s="565"/>
      <c r="AZ21" s="565"/>
      <c r="BA21" s="565"/>
      <c r="BB21" s="565"/>
      <c r="BD21" s="565" t="s">
        <v>250</v>
      </c>
      <c r="BE21" s="565"/>
      <c r="BF21" s="565"/>
      <c r="BG21" s="565"/>
      <c r="BH21" s="565"/>
      <c r="BJ21" s="565" t="s">
        <v>252</v>
      </c>
      <c r="BK21" s="565"/>
      <c r="BL21" s="565"/>
      <c r="BM21" s="565"/>
      <c r="BN21" s="565"/>
      <c r="BP21" s="565" t="s">
        <v>254</v>
      </c>
      <c r="BQ21" s="565"/>
      <c r="BR21" s="565"/>
      <c r="BS21" s="565"/>
      <c r="BT21" s="565"/>
    </row>
    <row r="22" spans="2:72" x14ac:dyDescent="0.25">
      <c r="B22" s="694"/>
      <c r="C22" s="21" t="s">
        <v>305</v>
      </c>
      <c r="D22" s="70">
        <v>22</v>
      </c>
      <c r="E22" s="101">
        <v>0</v>
      </c>
      <c r="F22" s="121" t="s">
        <v>760</v>
      </c>
      <c r="G22" s="229">
        <v>110</v>
      </c>
      <c r="H22" s="229">
        <f t="shared" si="0"/>
        <v>0</v>
      </c>
      <c r="J22" s="697"/>
      <c r="K22" s="14" t="s">
        <v>38</v>
      </c>
      <c r="L22" s="126">
        <f>R57</f>
        <v>1</v>
      </c>
      <c r="N22" s="691" t="s">
        <v>129</v>
      </c>
      <c r="O22" s="691"/>
      <c r="Q22" s="691" t="s">
        <v>130</v>
      </c>
      <c r="R22" s="691"/>
      <c r="T22" s="691" t="s">
        <v>129</v>
      </c>
      <c r="U22" s="691"/>
      <c r="W22" s="691" t="s">
        <v>130</v>
      </c>
      <c r="X22" s="691"/>
      <c r="Z22" s="691" t="s">
        <v>129</v>
      </c>
      <c r="AA22" s="691"/>
      <c r="AC22" s="691" t="s">
        <v>130</v>
      </c>
      <c r="AD22" s="691"/>
      <c r="AF22" s="691" t="s">
        <v>129</v>
      </c>
      <c r="AG22" s="691"/>
      <c r="AI22" s="691" t="s">
        <v>130</v>
      </c>
      <c r="AJ22" s="691"/>
      <c r="AL22" s="691" t="s">
        <v>129</v>
      </c>
      <c r="AM22" s="691"/>
      <c r="AO22" s="691" t="s">
        <v>130</v>
      </c>
      <c r="AP22" s="691"/>
      <c r="AR22" s="691" t="s">
        <v>129</v>
      </c>
      <c r="AS22" s="691"/>
      <c r="AU22" s="691" t="s">
        <v>130</v>
      </c>
      <c r="AV22" s="691"/>
      <c r="AX22" s="691" t="s">
        <v>129</v>
      </c>
      <c r="AY22" s="691"/>
      <c r="BA22" s="691" t="s">
        <v>130</v>
      </c>
      <c r="BB22" s="691"/>
      <c r="BD22" s="691" t="s">
        <v>129</v>
      </c>
      <c r="BE22" s="691"/>
      <c r="BG22" s="691" t="s">
        <v>130</v>
      </c>
      <c r="BH22" s="691"/>
      <c r="BJ22" s="691" t="s">
        <v>129</v>
      </c>
      <c r="BK22" s="691"/>
      <c r="BM22" s="691" t="s">
        <v>130</v>
      </c>
      <c r="BN22" s="691"/>
      <c r="BP22" s="691" t="s">
        <v>129</v>
      </c>
      <c r="BQ22" s="691"/>
      <c r="BS22" s="691" t="s">
        <v>130</v>
      </c>
      <c r="BT22" s="691"/>
    </row>
    <row r="23" spans="2:72" x14ac:dyDescent="0.25">
      <c r="B23" s="694"/>
      <c r="C23" s="21" t="s">
        <v>306</v>
      </c>
      <c r="D23" s="70">
        <f>IF(AND('R2U_Ref'!G12=TRUE,'R2U_Ref'!$C$7=2),2*('R2U_Ref'!$N$7+IF('R2U_Project'!$F$31="Paved Shoulder",'R2U_Ref'!$N$8,0)),0)</f>
        <v>0</v>
      </c>
      <c r="E23" s="101">
        <v>0</v>
      </c>
      <c r="F23" s="121" t="s">
        <v>760</v>
      </c>
      <c r="G23" s="229">
        <v>110</v>
      </c>
      <c r="H23" s="229">
        <f t="shared" si="0"/>
        <v>0</v>
      </c>
      <c r="J23" s="16" t="s">
        <v>47</v>
      </c>
      <c r="K23" s="1"/>
      <c r="L23" s="110">
        <f>'R2U_Setup'!F70</f>
        <v>1</v>
      </c>
      <c r="N23" s="13" t="s">
        <v>125</v>
      </c>
      <c r="O23" s="82">
        <f>IF('R2U_Ref'!$C$7=1,IF(OR('R2U_Project'!$G$17=0,'R2U_Project'!$G$19=0),0,'R2U_Project'!$G$17*'R2U_Project'!$C$4/'R2U_Project'!$G$19),'R2U_Project'!$J$19)</f>
        <v>0</v>
      </c>
      <c r="Q23" s="13" t="s">
        <v>125</v>
      </c>
      <c r="R23" s="82">
        <f>IF('R2U_Ref'!$C$7=1,IF(OR('R2U_Project'!$G$17=0,'R2U_Project'!$G$19=0),0,'R2U_Project'!$G$17*'R2U_Project'!$C$4/'R2U_Project'!$G$19),'R2U_Project'!$J$19)</f>
        <v>0</v>
      </c>
      <c r="T23" s="13" t="s">
        <v>125</v>
      </c>
      <c r="U23" s="82">
        <f>IF('R2U_Project'!$M$14&gt;=2,'R2U_Project'!$J$20,0)</f>
        <v>6.6000000000000003E-2</v>
      </c>
      <c r="W23" s="13" t="s">
        <v>125</v>
      </c>
      <c r="X23" s="82">
        <f>IF('R2U_Project'!$M$14&gt;=2,'R2U_Project'!$J$20,0)</f>
        <v>6.6000000000000003E-2</v>
      </c>
      <c r="Z23" s="13" t="s">
        <v>125</v>
      </c>
      <c r="AA23" s="82">
        <f>IF('R2U_Project'!$M$14&gt;=3,'R2U_Project'!$J$21,0)</f>
        <v>0</v>
      </c>
      <c r="AC23" s="13" t="s">
        <v>125</v>
      </c>
      <c r="AD23" s="82">
        <f>IF('R2U_Project'!$M$14&gt;=3,'R2U_Project'!$J$21,0)</f>
        <v>0</v>
      </c>
      <c r="AF23" s="13" t="s">
        <v>125</v>
      </c>
      <c r="AG23" s="82">
        <f>IF('R2U_Project'!$M$14&gt;=4,'R2U_Project'!$J$22,0)</f>
        <v>0</v>
      </c>
      <c r="AI23" s="13" t="s">
        <v>125</v>
      </c>
      <c r="AJ23" s="82">
        <f>IF('R2U_Project'!$M$14&gt;=4,'R2U_Project'!$J$22,0)</f>
        <v>0</v>
      </c>
      <c r="AL23" s="13" t="s">
        <v>125</v>
      </c>
      <c r="AM23" s="82">
        <f>IF('R2U_Project'!$M$14&gt;=5,'R2U_Project'!$J$23,0)</f>
        <v>0</v>
      </c>
      <c r="AO23" s="13" t="s">
        <v>125</v>
      </c>
      <c r="AP23" s="82">
        <f>IF('R2U_Project'!$M$14&gt;=5,'R2U_Project'!$J$23,0)</f>
        <v>0</v>
      </c>
      <c r="AR23" s="13" t="s">
        <v>125</v>
      </c>
      <c r="AS23" s="82">
        <f>IF('R2U_Project'!$M$14&gt;=6,'R2U_Project'!$J$24,0)</f>
        <v>0</v>
      </c>
      <c r="AU23" s="13" t="s">
        <v>125</v>
      </c>
      <c r="AV23" s="82">
        <f>IF('R2U_Project'!$M$14&gt;=6,'R2U_Project'!$J$24,0)</f>
        <v>0</v>
      </c>
      <c r="AX23" s="13" t="s">
        <v>125</v>
      </c>
      <c r="AY23" s="82">
        <f>IF('R2U_Project'!$M$14&gt;=7,'R2U_Project'!$J$25,0)</f>
        <v>0</v>
      </c>
      <c r="BA23" s="13" t="s">
        <v>125</v>
      </c>
      <c r="BB23" s="82">
        <f>IF('R2U_Project'!$M$14&gt;=7,'R2U_Project'!$J$25,0)</f>
        <v>0</v>
      </c>
      <c r="BD23" s="13" t="s">
        <v>125</v>
      </c>
      <c r="BE23" s="82">
        <f>IF('R2U_Project'!$M$14&gt;=8,'R2U_Project'!$J$26,0)</f>
        <v>0</v>
      </c>
      <c r="BG23" s="13" t="s">
        <v>125</v>
      </c>
      <c r="BH23" s="82">
        <f>IF('R2U_Project'!$M$14&gt;=8,'R2U_Project'!$J$26,0)</f>
        <v>0</v>
      </c>
      <c r="BJ23" s="13" t="s">
        <v>125</v>
      </c>
      <c r="BK23" s="82">
        <f>IF('R2U_Project'!$M$14&gt;=9,'R2U_Project'!$J$27,0)</f>
        <v>0</v>
      </c>
      <c r="BM23" s="13" t="s">
        <v>125</v>
      </c>
      <c r="BN23" s="82">
        <f>IF('R2U_Project'!$M$14&gt;=9,'R2U_Project'!$J$27,0)</f>
        <v>0</v>
      </c>
      <c r="BP23" s="13" t="s">
        <v>125</v>
      </c>
      <c r="BQ23" s="82">
        <f>IF('R2U_Project'!$M$14&gt;=10,'R2U_Project'!$J$28,0)</f>
        <v>0</v>
      </c>
      <c r="BS23" s="13" t="s">
        <v>125</v>
      </c>
      <c r="BT23" s="82">
        <f>IF('R2U_Project'!$M$14&gt;=10,'R2U_Project'!$J$28,0)</f>
        <v>0</v>
      </c>
    </row>
    <row r="24" spans="2:72" x14ac:dyDescent="0.25">
      <c r="B24" s="694"/>
      <c r="C24" s="21" t="s">
        <v>307</v>
      </c>
      <c r="D24" s="70">
        <f>IF(AND('R2U_Ref'!G13=TRUE,'R2U_Ref'!$C$7=2),2*('R2U_Ref'!$N$7+IF('R2U_Project'!$F$31="Paved Shoulder",'R2U_Ref'!$N$8,0)),0)</f>
        <v>0</v>
      </c>
      <c r="E24" s="101">
        <v>0</v>
      </c>
      <c r="F24" s="121" t="s">
        <v>760</v>
      </c>
      <c r="G24" s="229">
        <v>110</v>
      </c>
      <c r="H24" s="229">
        <f t="shared" si="0"/>
        <v>0</v>
      </c>
      <c r="J24" s="616" t="s">
        <v>48</v>
      </c>
      <c r="K24" s="14" t="s">
        <v>208</v>
      </c>
      <c r="L24" s="75">
        <f>'R2U_Setup'!F74</f>
        <v>5.0200000000000002E-2</v>
      </c>
      <c r="N24" s="13" t="s">
        <v>126</v>
      </c>
      <c r="O24" s="83">
        <f>IF('R2U_Ref'!$C$7=1,'R2U_Project'!$G$18,'R2U_Project'!$L$19)</f>
        <v>2000</v>
      </c>
      <c r="Q24" s="13" t="s">
        <v>126</v>
      </c>
      <c r="R24" s="83">
        <f>IF('R2U_Ref'!$C$7=1,'R2U_Project'!$G$18,'R2U_Project'!$L$19)</f>
        <v>2000</v>
      </c>
      <c r="T24" s="13" t="s">
        <v>126</v>
      </c>
      <c r="U24" s="83">
        <f>'R2U_Project'!$L$20</f>
        <v>933</v>
      </c>
      <c r="W24" s="13" t="s">
        <v>126</v>
      </c>
      <c r="X24" s="83">
        <f>'R2U_Project'!$L$20</f>
        <v>933</v>
      </c>
      <c r="Z24" s="13" t="s">
        <v>126</v>
      </c>
      <c r="AA24" s="83">
        <f>'R2U_Project'!$L$21</f>
        <v>933</v>
      </c>
      <c r="AC24" s="13" t="s">
        <v>126</v>
      </c>
      <c r="AD24" s="83">
        <f>'R2U_Project'!$L$21</f>
        <v>933</v>
      </c>
      <c r="AF24" s="13" t="s">
        <v>126</v>
      </c>
      <c r="AG24" s="83">
        <f>'R2U_Project'!$L$22</f>
        <v>933</v>
      </c>
      <c r="AI24" s="13" t="s">
        <v>126</v>
      </c>
      <c r="AJ24" s="83">
        <f>'R2U_Project'!$L$22</f>
        <v>933</v>
      </c>
      <c r="AL24" s="13" t="s">
        <v>126</v>
      </c>
      <c r="AM24" s="83">
        <f>'R2U_Project'!$L$23</f>
        <v>933</v>
      </c>
      <c r="AO24" s="13" t="s">
        <v>126</v>
      </c>
      <c r="AP24" s="83">
        <f>'R2U_Project'!$L$23</f>
        <v>933</v>
      </c>
      <c r="AR24" s="13" t="s">
        <v>126</v>
      </c>
      <c r="AS24" s="83">
        <f>'R2U_Project'!$L$24</f>
        <v>933</v>
      </c>
      <c r="AU24" s="13" t="s">
        <v>126</v>
      </c>
      <c r="AV24" s="83">
        <f>'R2U_Project'!$L$24</f>
        <v>933</v>
      </c>
      <c r="AX24" s="13" t="s">
        <v>126</v>
      </c>
      <c r="AY24" s="83">
        <f>'R2U_Project'!$L$25</f>
        <v>933</v>
      </c>
      <c r="BA24" s="13" t="s">
        <v>126</v>
      </c>
      <c r="BB24" s="83">
        <f>'R2U_Project'!$L$25</f>
        <v>933</v>
      </c>
      <c r="BD24" s="13" t="s">
        <v>126</v>
      </c>
      <c r="BE24" s="83">
        <f>'R2U_Project'!$L$26</f>
        <v>933</v>
      </c>
      <c r="BG24" s="13" t="s">
        <v>126</v>
      </c>
      <c r="BH24" s="83">
        <f>'R2U_Project'!$L$26</f>
        <v>933</v>
      </c>
      <c r="BJ24" s="13" t="s">
        <v>126</v>
      </c>
      <c r="BK24" s="83">
        <f>'R2U_Project'!$L$27</f>
        <v>933</v>
      </c>
      <c r="BM24" s="13" t="s">
        <v>126</v>
      </c>
      <c r="BN24" s="83">
        <f>'R2U_Project'!$L$27</f>
        <v>933</v>
      </c>
      <c r="BP24" s="13" t="s">
        <v>126</v>
      </c>
      <c r="BQ24" s="83">
        <f>'R2U_Project'!$L$28</f>
        <v>933</v>
      </c>
      <c r="BS24" s="13" t="s">
        <v>126</v>
      </c>
      <c r="BT24" s="83">
        <f>'R2U_Project'!$L$28</f>
        <v>933</v>
      </c>
    </row>
    <row r="25" spans="2:72" x14ac:dyDescent="0.25">
      <c r="B25" s="694"/>
      <c r="C25" s="21" t="s">
        <v>308</v>
      </c>
      <c r="D25" s="70">
        <f>IF(AND('R2U_Ref'!G14=TRUE,'R2U_Ref'!$C$7=2),2*('R2U_Ref'!$N$7+IF('R2U_Project'!$F$31="Paved Shoulder",'R2U_Ref'!$N$8,0)),0)</f>
        <v>0</v>
      </c>
      <c r="E25" s="101">
        <v>0</v>
      </c>
      <c r="F25" s="121" t="s">
        <v>760</v>
      </c>
      <c r="G25" s="229">
        <v>110</v>
      </c>
      <c r="H25" s="229">
        <f t="shared" si="0"/>
        <v>0</v>
      </c>
      <c r="J25" s="696"/>
      <c r="K25" s="14" t="s">
        <v>209</v>
      </c>
      <c r="L25" s="75">
        <f>'R2U_Setup'!F75</f>
        <v>8.0000000000000004E-4</v>
      </c>
      <c r="N25" s="13" t="s">
        <v>127</v>
      </c>
      <c r="O25" s="1" t="str">
        <f>IF('R2U_Ref'!$C$7=1,'R2U_Project'!$G$20,'R2U_Project'!$M$19)</f>
        <v>No</v>
      </c>
      <c r="Q25" s="13" t="s">
        <v>127</v>
      </c>
      <c r="R25" s="1" t="str">
        <f>IF('R2U_Ref'!$C$7=1,'R2U_Project'!$G$20,'R2U_Project'!$M$19)</f>
        <v>No</v>
      </c>
      <c r="T25" s="13" t="s">
        <v>127</v>
      </c>
      <c r="U25" s="1" t="str">
        <f>'R2U_Project'!$M$20</f>
        <v>No</v>
      </c>
      <c r="W25" s="13" t="s">
        <v>127</v>
      </c>
      <c r="X25" s="1" t="str">
        <f>'R2U_Project'!$M$20</f>
        <v>No</v>
      </c>
      <c r="Z25" s="13" t="s">
        <v>127</v>
      </c>
      <c r="AA25" s="1" t="str">
        <f>'R2U_Project'!$M$21</f>
        <v>No</v>
      </c>
      <c r="AC25" s="13" t="s">
        <v>127</v>
      </c>
      <c r="AD25" s="1" t="str">
        <f>'R2U_Project'!$M$21</f>
        <v>No</v>
      </c>
      <c r="AF25" s="13" t="s">
        <v>127</v>
      </c>
      <c r="AG25" s="1" t="str">
        <f>'R2U_Project'!$M$22</f>
        <v>No</v>
      </c>
      <c r="AI25" s="13" t="s">
        <v>127</v>
      </c>
      <c r="AJ25" s="1" t="str">
        <f>'R2U_Project'!$M$22</f>
        <v>No</v>
      </c>
      <c r="AL25" s="13" t="s">
        <v>127</v>
      </c>
      <c r="AM25" s="1" t="str">
        <f>'R2U_Project'!$M$23</f>
        <v>No</v>
      </c>
      <c r="AO25" s="13" t="s">
        <v>127</v>
      </c>
      <c r="AP25" s="1" t="str">
        <f>'R2U_Project'!$M$23</f>
        <v>No</v>
      </c>
      <c r="AR25" s="13" t="s">
        <v>127</v>
      </c>
      <c r="AS25" s="1" t="str">
        <f>'R2U_Project'!$M$24</f>
        <v>No</v>
      </c>
      <c r="AU25" s="13" t="s">
        <v>127</v>
      </c>
      <c r="AV25" s="1" t="str">
        <f>'R2U_Project'!$M$24</f>
        <v>No</v>
      </c>
      <c r="AX25" s="13" t="s">
        <v>127</v>
      </c>
      <c r="AY25" s="1" t="str">
        <f>'R2U_Project'!$M$25</f>
        <v>No</v>
      </c>
      <c r="BA25" s="13" t="s">
        <v>127</v>
      </c>
      <c r="BB25" s="1" t="str">
        <f>'R2U_Project'!$M$25</f>
        <v>No</v>
      </c>
      <c r="BD25" s="13" t="s">
        <v>127</v>
      </c>
      <c r="BE25" s="1" t="str">
        <f>'R2U_Project'!$M$26</f>
        <v>No</v>
      </c>
      <c r="BG25" s="13" t="s">
        <v>127</v>
      </c>
      <c r="BH25" s="1" t="str">
        <f>'R2U_Project'!$M$26</f>
        <v>No</v>
      </c>
      <c r="BJ25" s="13" t="s">
        <v>127</v>
      </c>
      <c r="BK25" s="1" t="str">
        <f>'R2U_Project'!$M$27</f>
        <v>No</v>
      </c>
      <c r="BM25" s="13" t="s">
        <v>127</v>
      </c>
      <c r="BN25" s="1" t="str">
        <f>'R2U_Project'!$M$27</f>
        <v>No</v>
      </c>
      <c r="BP25" s="13" t="s">
        <v>127</v>
      </c>
      <c r="BQ25" s="1" t="str">
        <f>'R2U_Project'!$M$28</f>
        <v>No</v>
      </c>
      <c r="BS25" s="13" t="s">
        <v>127</v>
      </c>
      <c r="BT25" s="1" t="str">
        <f>'R2U_Project'!$M$28</f>
        <v>No</v>
      </c>
    </row>
    <row r="26" spans="2:72" x14ac:dyDescent="0.25">
      <c r="B26" s="694"/>
      <c r="C26" s="21" t="s">
        <v>309</v>
      </c>
      <c r="D26" s="70">
        <f>IF(AND('R2U_Ref'!G15=TRUE,'R2U_Ref'!$C$7=2),2*('R2U_Ref'!$N$7+IF('R2U_Project'!$F$31="Paved Shoulder",'R2U_Ref'!$N$8,0)),0)</f>
        <v>0</v>
      </c>
      <c r="E26" s="101">
        <v>0</v>
      </c>
      <c r="F26" s="121" t="s">
        <v>760</v>
      </c>
      <c r="G26" s="229">
        <v>110</v>
      </c>
      <c r="H26" s="229">
        <f t="shared" si="0"/>
        <v>0</v>
      </c>
      <c r="J26" s="696"/>
      <c r="K26" s="14" t="s">
        <v>210</v>
      </c>
      <c r="L26" s="75">
        <f>'R2U_Setup'!F76</f>
        <v>3.0000000000000001E-3</v>
      </c>
      <c r="N26" s="18" t="s">
        <v>118</v>
      </c>
      <c r="O26" s="111">
        <f>IF('R2U_Ref'!$C$7=1,IF(OR('R2U_Project'!$G$19=0,'R2U_Project'!$G$17=0),1,((1.55*IF(O23*5280&lt;100,100/5280,O23))+(80.2/IF(O24*5280&lt;100,100,O24))-0.012*IF(O25="Yes",1,0))/(1.55*IF(O23*5280&lt;100,100/5280,O23))),IF('R2U_Project'!$M$14&gt;=1,((1.55*IF((O23+2*'R2U_Project'!K19)*5280&lt;100,100/5280,(O23+2*'R2U_Project'!K19)))+(80.2/IF(O24*5280&lt;100,100,O24))-0.012*IF(O25="Yes",1,0))/(1.55*IF((O23+2*'R2U_Project'!K19)*5280&lt;100,100/5280,(O23+2*'R2U_Project'!K19))),1))</f>
        <v>1</v>
      </c>
      <c r="Q26" s="18" t="s">
        <v>118</v>
      </c>
      <c r="R26" s="111">
        <f>IF('R2U_Ref'!$C$7=1,IF(OR('R2U_Project'!$G$19=0,'R2U_Project'!$G$17=0),1,((1.55*IF(R23*5280&lt;100,100/5280,R23))+(80.2/IF(R24*5280&lt;100,100,R24))-0.012*IF(R25="Yes",1,0))/(1.55*IF(R23*5280&lt;100,100/5280,R23))),IF('R2U_Project'!$M$14&gt;=1,((1.55*IF((R23+2*'R2U_Project'!K19)*5280&lt;100,100/5280,(R23+2*'R2U_Project'!K19)))+(80.2/IF(R24*5280&lt;100,100,R24))-0.012*IF(R25="Yes",1,0))/(1.55*IF((R23+2*'R2U_Project'!K19)*5280&lt;100,100/5280,(R23+2*'R2U_Project'!K19))),1))</f>
        <v>1</v>
      </c>
      <c r="T26" s="18" t="s">
        <v>118</v>
      </c>
      <c r="U26" s="111">
        <f>IF('R2U_Project'!$M$14&gt;=2,((1.55*IF((U23+2*'R2U_Project'!K20)*5280&lt;100,100/5280,(U23+2*'R2U_Project'!K20)))+(80.2/IF(U24*5280&lt;100,100,U24))-0.012*IF(U25="Yes",1,0))/(1.55*IF((U23+2*'R2U_Project'!K20)*5280&lt;100,100/5280,(U23+2*'R2U_Project'!K20))),0)</f>
        <v>1.433262455485254</v>
      </c>
      <c r="W26" s="18" t="s">
        <v>118</v>
      </c>
      <c r="X26" s="111">
        <f>IF('R2U_Project'!$M$14&gt;=2,((1.55*IF((X23+2*'R2U_Project'!K20)*5280&lt;100,100/5280,(X23+2*'R2U_Project'!K20)))+(80.2/IF(X24*5280&lt;100,100,X24))-0.012*IF(X25="Yes",1,0))/(1.55*IF((X23+2*'R2U_Project'!K20)*5280&lt;100,100/5280,(X23+2*'R2U_Project'!K20))),0)</f>
        <v>1.433262455485254</v>
      </c>
      <c r="Z26" s="18" t="s">
        <v>118</v>
      </c>
      <c r="AA26" s="111">
        <f>IF('R2U_Project'!$M$14&gt;=3,((1.55*IF((AA23+2*'R2U_Project'!K21)*5280&lt;100,100/5280,(AA23+2*'R2U_Project'!K21)))+(80.2/IF(AA24*5280&lt;100,100,AA24))-0.012*IF(AA25="Yes",1,0))/(1.55*IF((AA23+2*'R2U_Project'!K21)*5280&lt;100,100/5280,(AA23+2*'R2U_Project'!K21))),0)</f>
        <v>0</v>
      </c>
      <c r="AC26" s="18" t="s">
        <v>118</v>
      </c>
      <c r="AD26" s="111">
        <f>IF('R2U_Project'!$M$14&gt;=3,((1.55*IF((AD23+2*'R2U_Project'!K21)*5280&lt;100,100/5280,(AD23+2*'R2U_Project'!K21)))+(80.2/IF(AD24*5280&lt;100,100,AD24))-0.012*IF(AD25="Yes",1,0))/(1.55*IF((AD23+2*'R2U_Project'!K21)*5280&lt;100,100/5280,(AD23+2*'R2U_Project'!K21))),0)</f>
        <v>0</v>
      </c>
      <c r="AF26" s="18" t="s">
        <v>118</v>
      </c>
      <c r="AG26" s="111">
        <f>IF('R2U_Project'!$M$14&gt;=4,((1.55*IF((AG23+2*'R2U_Project'!K22)*5280&lt;100,100/5280,(AG23+2*'R2U_Project'!K22)))+(80.2/IF(AG24*5280&lt;100,100,AG24))-0.012*IF(AG25="Yes",1,0))/(1.55*IF((AG23+2*'R2U_Project'!K22)*5280&lt;100,100/5280,(AG23+2*'R2U_Project'!K22))),0)</f>
        <v>0</v>
      </c>
      <c r="AI26" s="18" t="s">
        <v>118</v>
      </c>
      <c r="AJ26" s="111">
        <f>IF('R2U_Project'!$M$14&gt;=4,((1.55*IF((AJ23+2*'R2U_Project'!K22)*5280&lt;100,100/5280,(AJ23+2*'R2U_Project'!K22)))+(80.2/IF(AJ24*5280&lt;100,100,AJ24))-0.012*IF(AJ25="Yes",1,0))/(1.55*IF((AJ23+2*'R2U_Project'!K22)*5280&lt;100,100/5280,(AJ23+2*'R2U_Project'!K22))),0)</f>
        <v>0</v>
      </c>
      <c r="AL26" s="18" t="s">
        <v>118</v>
      </c>
      <c r="AM26" s="111">
        <f>IF('R2U_Project'!$M$14&gt;=5,((1.55*IF((AM23+2*'R2U_Project'!K23)*5280&lt;100,100/5280,(AM23+2*'R2U_Project'!K23)))+(80.2/IF(AM24*5280&lt;100,100,AM24))-0.012*IF(AM25="Yes",1,0))/(1.55*IF((AM23+2*'R2U_Project'!K23)*5280&lt;100,100/5280,(AM23+2*'R2U_Project'!K23))),0)</f>
        <v>0</v>
      </c>
      <c r="AO26" s="18" t="s">
        <v>118</v>
      </c>
      <c r="AP26" s="111">
        <f>IF('R2U_Project'!$M$14&gt;=5,((1.55*IF((AP23+2*'R2U_Project'!K23)*5280&lt;100,100/5280,(AP23+2*'R2U_Project'!K23)))+(80.2/IF(AP24*5280&lt;100,100,AP24))-0.012*IF(AP25="Yes",1,0))/(1.55*IF((AP23+2*'R2U_Project'!K23)*5280&lt;100,100/5280,(AP23+2*'R2U_Project'!K23))),0)</f>
        <v>0</v>
      </c>
      <c r="AR26" s="18" t="s">
        <v>118</v>
      </c>
      <c r="AS26" s="111">
        <f>IF('R2U_Project'!$M$14&gt;=6,((1.55*IF((AS23+2*'R2U_Project'!K24)*5280&lt;100,100/5280,(AS23+2*'R2U_Project'!K24)))+(80.2/IF(AS24*5280&lt;100,100,AS24))-0.012*IF(AS25="Yes",1,0))/(1.55*IF((AS23+2*'R2U_Project'!K24)*5280&lt;100,100/5280,(AS23+2*'R2U_Project'!K24))),0)</f>
        <v>0</v>
      </c>
      <c r="AU26" s="18" t="s">
        <v>118</v>
      </c>
      <c r="AV26" s="111">
        <f>IF('R2U_Project'!$M$14&gt;=6,((1.55*IF((AV23+2*'R2U_Project'!K24)*5280&lt;100,100/5280,(AV23+2*'R2U_Project'!K24)))+(80.2/IF(AV24*5280&lt;100,100,AV24))-0.012*IF(AV25="Yes",1,0))/(1.55*IF((AV23+2*'R2U_Project'!K24)*5280&lt;100,100/5280,(AV23+2*'R2U_Project'!K24))),0)</f>
        <v>0</v>
      </c>
      <c r="AX26" s="18" t="s">
        <v>118</v>
      </c>
      <c r="AY26" s="111">
        <f>IF('R2U_Project'!$M$14&gt;=7,((1.55*IF((AY23+2*'R2U_Project'!K25)*5280&lt;100,100/5280,(AY23+2*'R2U_Project'!K25)))+(80.2/IF(AY24*5280&lt;100,100,AY24))-0.012*IF(AY25="Yes",1,0))/(1.55*IF((AY23+2*'R2U_Project'!K25)*5280&lt;100,100/5280,(AY23+2*'R2U_Project'!K25))),0)</f>
        <v>0</v>
      </c>
      <c r="BA26" s="18" t="s">
        <v>118</v>
      </c>
      <c r="BB26" s="111">
        <f>IF('R2U_Project'!$M$14&gt;=7,((1.55*IF((BB23+2*'R2U_Project'!K25)*5280&lt;100,100/5280,(BB23+2*'R2U_Project'!K25)))+(80.2/IF(BB24*5280&lt;100,100,BB24))-0.012*IF(BB25="Yes",1,0))/(1.55*IF((BB23+2*'R2U_Project'!K25)*5280&lt;100,100/5280,(BB23+2*'R2U_Project'!K25))),0)</f>
        <v>0</v>
      </c>
      <c r="BD26" s="18" t="s">
        <v>118</v>
      </c>
      <c r="BE26" s="111">
        <f>IF('R2U_Project'!$M$14&gt;=8,((1.55*IF((BE23+2*'R2U_Project'!K26)*5280&lt;100,100/5280,(BE23+2*'R2U_Project'!K26)))+(80.2/IF(BE24*5280&lt;100,100,BE24))-0.012*IF(BE25="Yes",1,0))/(1.55*IF((BE23+2*'R2U_Project'!K26)*5280&lt;100,100/5280,(BE23+2*'R2U_Project'!K26))),0)</f>
        <v>0</v>
      </c>
      <c r="BG26" s="18" t="s">
        <v>118</v>
      </c>
      <c r="BH26" s="111">
        <f>IF('R2U_Project'!$M$14&gt;=8,((1.55*IF((BH23+2*'R2U_Project'!K26)*5280&lt;100,100/5280,(BH23+2*'R2U_Project'!K26)))+(80.2/IF(BH24*5280&lt;100,100,BH24))-0.012*IF(BH25="Yes",1,0))/(1.55*IF((BH23+2*'R2U_Project'!K26)*5280&lt;100,100/5280,(BH23+2*'R2U_Project'!K26))),0)</f>
        <v>0</v>
      </c>
      <c r="BJ26" s="18" t="s">
        <v>118</v>
      </c>
      <c r="BK26" s="111">
        <f>IF('R2U_Project'!$M$14&gt;=9,((1.55*IF((BK23+2*'R2U_Project'!K27)*5280&lt;100,100/5280,(BK23+2*'R2U_Project'!K27)))+(80.2/IF(BK24*5280&lt;100,100,BK24))-0.012*IF(BK25="Yes",1,0))/(1.55*IF((BK23+2*'R2U_Project'!K27)*5280&lt;100,100/5280,(BK23+2*'R2U_Project'!K27))),0)</f>
        <v>0</v>
      </c>
      <c r="BM26" s="18" t="s">
        <v>118</v>
      </c>
      <c r="BN26" s="111">
        <f>IF('R2U_Project'!$M$14&gt;=9,((1.55*IF((BN23+2*'R2U_Project'!K27)*5280&lt;100,100/5280,(BN23+2*'R2U_Project'!K27)))+(80.2/IF(BN24*5280&lt;100,100,BN24))-0.012*IF(BN25="Yes",1,0))/(1.55*IF((BN23+2*'R2U_Project'!K27)*5280&lt;100,100/5280,(BN23+2*'R2U_Project'!K27))),0)</f>
        <v>0</v>
      </c>
      <c r="BP26" s="18" t="s">
        <v>118</v>
      </c>
      <c r="BQ26" s="111">
        <f>IF('R2U_Project'!$M$14&gt;=10,((1.55*IF((BQ23+2*'R2U_Project'!K28)*5280&lt;100,100/5280,(BQ23+2*'R2U_Project'!K28)))+(80.2/IF(BQ24*5280&lt;100,100,BQ24))-0.012*IF(BQ25="Yes",1,0))/(1.55*IF((BQ23+2*'R2U_Project'!K28)*5280&lt;100,100/5280,(BQ23+2*'R2U_Project'!K28))),0)</f>
        <v>0</v>
      </c>
      <c r="BS26" s="18" t="s">
        <v>118</v>
      </c>
      <c r="BT26" s="111">
        <f>IF('R2U_Project'!$M$14&gt;=10,((1.55*IF((BT23+2*'R2U_Project'!K28)*5280&lt;100,100/5280,(BT23+2*'R2U_Project'!K28)))+(80.2/IF(BT24*5280&lt;100,100,BT24))-0.012*IF(BT25="Yes",1,0))/(1.55*IF((BT23+2*'R2U_Project'!K28)*5280&lt;100,100/5280,(BT23+2*'R2U_Project'!K28))),0)</f>
        <v>0</v>
      </c>
    </row>
    <row r="27" spans="2:72" x14ac:dyDescent="0.25">
      <c r="B27" s="694"/>
      <c r="C27" s="21" t="s">
        <v>310</v>
      </c>
      <c r="D27" s="70">
        <f>IF(AND('R2U_Ref'!G16=TRUE,'R2U_Ref'!$C$7=2),2*('R2U_Ref'!$N$7+IF('R2U_Project'!$F$31="Paved Shoulder",'R2U_Ref'!$N$8,0)),0)</f>
        <v>0</v>
      </c>
      <c r="E27" s="101">
        <v>0</v>
      </c>
      <c r="F27" s="121" t="s">
        <v>760</v>
      </c>
      <c r="G27" s="229">
        <v>110</v>
      </c>
      <c r="H27" s="229">
        <f t="shared" si="0"/>
        <v>0</v>
      </c>
      <c r="J27" s="696"/>
      <c r="K27" s="14" t="s">
        <v>211</v>
      </c>
      <c r="L27" s="75">
        <f>'R2U_Setup'!F77</f>
        <v>4.6899999999999997E-2</v>
      </c>
      <c r="AJ27" s="89"/>
    </row>
    <row r="28" spans="2:72" ht="15.75" customHeight="1" x14ac:dyDescent="0.25">
      <c r="B28" s="523" t="s">
        <v>731</v>
      </c>
      <c r="C28" s="15" t="s">
        <v>753</v>
      </c>
      <c r="D28" s="70">
        <f>2*('R2U_Ref'!C21-'R2U_Ref'!C22)</f>
        <v>6</v>
      </c>
      <c r="E28" s="101">
        <v>0</v>
      </c>
      <c r="F28" s="525" t="s">
        <v>733</v>
      </c>
      <c r="G28" s="524">
        <v>40000</v>
      </c>
      <c r="H28" s="229">
        <v>0</v>
      </c>
      <c r="J28" s="696"/>
      <c r="K28" s="14" t="s">
        <v>212</v>
      </c>
      <c r="L28" s="75">
        <f>'R2U_Setup'!F78</f>
        <v>0.46089999999999998</v>
      </c>
      <c r="N28" s="565" t="s">
        <v>128</v>
      </c>
      <c r="O28" s="565"/>
      <c r="P28" s="565"/>
      <c r="Q28" s="565"/>
      <c r="R28" s="565"/>
      <c r="T28" s="565" t="s">
        <v>135</v>
      </c>
      <c r="U28" s="565"/>
      <c r="V28" s="565"/>
      <c r="W28" s="565"/>
      <c r="X28" s="565"/>
      <c r="Z28" s="565" t="s">
        <v>163</v>
      </c>
      <c r="AA28" s="565"/>
      <c r="AB28" s="565"/>
      <c r="AC28" s="565"/>
      <c r="AD28" s="565"/>
      <c r="AF28" s="565" t="s">
        <v>165</v>
      </c>
      <c r="AG28" s="565"/>
      <c r="AH28" s="565"/>
      <c r="AI28" s="565"/>
      <c r="AJ28" s="565"/>
      <c r="AL28" s="565" t="s">
        <v>245</v>
      </c>
      <c r="AM28" s="565"/>
      <c r="AN28" s="565"/>
      <c r="AO28" s="565"/>
      <c r="AP28" s="565"/>
      <c r="AR28" s="565" t="s">
        <v>247</v>
      </c>
      <c r="AS28" s="565"/>
      <c r="AT28" s="565"/>
      <c r="AU28" s="565"/>
      <c r="AV28" s="565"/>
      <c r="AX28" s="565" t="s">
        <v>249</v>
      </c>
      <c r="AY28" s="565"/>
      <c r="AZ28" s="565"/>
      <c r="BA28" s="565"/>
      <c r="BB28" s="565"/>
      <c r="BD28" s="565" t="s">
        <v>251</v>
      </c>
      <c r="BE28" s="565"/>
      <c r="BF28" s="565"/>
      <c r="BG28" s="565"/>
      <c r="BH28" s="565"/>
      <c r="BJ28" s="565" t="s">
        <v>253</v>
      </c>
      <c r="BK28" s="565"/>
      <c r="BL28" s="565"/>
      <c r="BM28" s="565"/>
      <c r="BN28" s="565"/>
      <c r="BP28" s="565" t="s">
        <v>255</v>
      </c>
      <c r="BQ28" s="565"/>
      <c r="BR28" s="565"/>
      <c r="BS28" s="565"/>
      <c r="BT28" s="565"/>
    </row>
    <row r="29" spans="2:72" x14ac:dyDescent="0.25">
      <c r="J29" s="696"/>
      <c r="K29" s="14" t="s">
        <v>213</v>
      </c>
      <c r="L29" s="75">
        <f>'R2U_Setup'!F79</f>
        <v>3.1600000000000003E-2</v>
      </c>
      <c r="N29" s="692" t="s">
        <v>129</v>
      </c>
      <c r="O29" s="692"/>
      <c r="Q29" s="692" t="s">
        <v>130</v>
      </c>
      <c r="R29" s="692"/>
      <c r="T29" s="692" t="s">
        <v>129</v>
      </c>
      <c r="U29" s="692"/>
      <c r="W29" s="692" t="s">
        <v>130</v>
      </c>
      <c r="X29" s="692"/>
      <c r="Z29" s="692" t="s">
        <v>129</v>
      </c>
      <c r="AA29" s="692"/>
      <c r="AC29" s="692" t="s">
        <v>130</v>
      </c>
      <c r="AD29" s="692"/>
      <c r="AF29" s="692" t="s">
        <v>129</v>
      </c>
      <c r="AG29" s="692"/>
      <c r="AI29" s="692" t="s">
        <v>130</v>
      </c>
      <c r="AJ29" s="692"/>
      <c r="AL29" s="692" t="s">
        <v>129</v>
      </c>
      <c r="AM29" s="692"/>
      <c r="AO29" s="692" t="s">
        <v>130</v>
      </c>
      <c r="AP29" s="692"/>
      <c r="AR29" s="692" t="s">
        <v>129</v>
      </c>
      <c r="AS29" s="692"/>
      <c r="AU29" s="692" t="s">
        <v>130</v>
      </c>
      <c r="AV29" s="692"/>
      <c r="AX29" s="692" t="s">
        <v>129</v>
      </c>
      <c r="AY29" s="692"/>
      <c r="BA29" s="692" t="s">
        <v>130</v>
      </c>
      <c r="BB29" s="692"/>
      <c r="BD29" s="692" t="s">
        <v>129</v>
      </c>
      <c r="BE29" s="692"/>
      <c r="BG29" s="692" t="s">
        <v>130</v>
      </c>
      <c r="BH29" s="692"/>
      <c r="BJ29" s="692" t="s">
        <v>129</v>
      </c>
      <c r="BK29" s="692"/>
      <c r="BM29" s="692" t="s">
        <v>130</v>
      </c>
      <c r="BN29" s="692"/>
      <c r="BP29" s="692" t="s">
        <v>129</v>
      </c>
      <c r="BQ29" s="692"/>
      <c r="BS29" s="692" t="s">
        <v>130</v>
      </c>
      <c r="BT29" s="692"/>
    </row>
    <row r="30" spans="2:72" x14ac:dyDescent="0.25">
      <c r="B30" s="24" t="s">
        <v>291</v>
      </c>
      <c r="C30" s="230">
        <f>SUM(H4:H27)</f>
        <v>10500</v>
      </c>
      <c r="J30" s="696"/>
      <c r="K30" s="14" t="s">
        <v>214</v>
      </c>
      <c r="L30" s="75">
        <f>'R2U_Setup'!F81</f>
        <v>0.15809999999999999</v>
      </c>
      <c r="N30" s="571" t="s">
        <v>131</v>
      </c>
      <c r="O30" s="689">
        <v>7.5999999999999998E-2</v>
      </c>
      <c r="Q30" s="571" t="s">
        <v>131</v>
      </c>
      <c r="R30" s="689">
        <v>7.5999999999999998E-2</v>
      </c>
      <c r="T30" s="571" t="s">
        <v>131</v>
      </c>
      <c r="U30" s="689">
        <v>7.0000000000000007E-2</v>
      </c>
      <c r="W30" s="571" t="s">
        <v>131</v>
      </c>
      <c r="X30" s="689">
        <v>7.0000000000000007E-2</v>
      </c>
      <c r="Z30" s="571" t="s">
        <v>131</v>
      </c>
      <c r="AA30" s="689">
        <v>7.0000000000000007E-2</v>
      </c>
      <c r="AC30" s="571" t="s">
        <v>131</v>
      </c>
      <c r="AD30" s="689">
        <v>7.0000000000000007E-2</v>
      </c>
      <c r="AF30" s="571" t="s">
        <v>131</v>
      </c>
      <c r="AG30" s="689">
        <v>7.0000000000000007E-2</v>
      </c>
      <c r="AI30" s="571" t="s">
        <v>131</v>
      </c>
      <c r="AJ30" s="689">
        <v>7.0000000000000007E-2</v>
      </c>
      <c r="AL30" s="571" t="s">
        <v>131</v>
      </c>
      <c r="AM30" s="689">
        <v>7.0000000000000007E-2</v>
      </c>
      <c r="AO30" s="571" t="s">
        <v>131</v>
      </c>
      <c r="AP30" s="689">
        <v>7.0000000000000007E-2</v>
      </c>
      <c r="AR30" s="571" t="s">
        <v>131</v>
      </c>
      <c r="AS30" s="689">
        <v>7.0000000000000007E-2</v>
      </c>
      <c r="AU30" s="571" t="s">
        <v>131</v>
      </c>
      <c r="AV30" s="689">
        <v>7.0000000000000007E-2</v>
      </c>
      <c r="AX30" s="571" t="s">
        <v>131</v>
      </c>
      <c r="AY30" s="689">
        <v>7.0000000000000007E-2</v>
      </c>
      <c r="BA30" s="571" t="s">
        <v>131</v>
      </c>
      <c r="BB30" s="689">
        <v>7.0000000000000007E-2</v>
      </c>
      <c r="BD30" s="571" t="s">
        <v>131</v>
      </c>
      <c r="BE30" s="689">
        <v>7.0000000000000007E-2</v>
      </c>
      <c r="BG30" s="571" t="s">
        <v>131</v>
      </c>
      <c r="BH30" s="689">
        <v>7.0000000000000007E-2</v>
      </c>
      <c r="BJ30" s="571" t="s">
        <v>131</v>
      </c>
      <c r="BK30" s="689">
        <v>7.0000000000000007E-2</v>
      </c>
      <c r="BM30" s="571" t="s">
        <v>131</v>
      </c>
      <c r="BN30" s="689">
        <v>7.0000000000000007E-2</v>
      </c>
      <c r="BP30" s="571" t="s">
        <v>131</v>
      </c>
      <c r="BQ30" s="689">
        <v>7.0000000000000007E-2</v>
      </c>
      <c r="BS30" s="571" t="s">
        <v>131</v>
      </c>
      <c r="BT30" s="689">
        <v>7.0000000000000007E-2</v>
      </c>
    </row>
    <row r="31" spans="2:72" x14ac:dyDescent="0.25">
      <c r="B31" s="24" t="s">
        <v>290</v>
      </c>
      <c r="C31" s="230">
        <f>IF('R2U_Setup'!F52=20,SUM('R2U_Calculations'!H4:H13),IF('R2U_Setup'!F52=10,SUM('R2U_Calculations'!H4:H13)+SUM('R2U_Calculations'!H4:H13)*(1+'R2U_Setup'!F50)^(-10),SUM('R2U_Calculations'!H4:H13)+SUM('R2U_Calculations'!H4:H13)*(1+'R2U_Setup'!F50)^(-5)+SUM('R2U_Calculations'!H4:H13)*(1+'R2U_Setup'!F50)^(-10)+SUM('R2U_Calculations'!H4:H13)*(1+'R2U_Setup'!F50)^(-15)))+IF('R2U_Setup'!F55=20,SUM('R2U_Calculations'!H14:H15),IF('R2U_Setup'!F55=10,SUM('R2U_Calculations'!H14:H15)+SUM('R2U_Calculations'!H14:H15)*(1+'R2U_Setup'!F50)^(-10),SUM('R2U_Calculations'!H14:H15)+SUM('R2U_Calculations'!H14:H15)*(1+'R2U_Setup'!F50)^(-5)+SUM('R2U_Calculations'!H14:H15)*(1+'R2U_Setup'!F50)^(-10)+SUM('R2U_Calculations'!H14:H15)*(1+'R2U_Setup'!F50)^(-15)))+IF('R2U_Setup'!F56=20,SUM('R2U_Calculations'!H16:H17),IF('R2U_Setup'!F56=10,SUM('R2U_Calculations'!H16:H17)+SUM('R2U_Calculations'!H16:H17)*(1+'R2U_Setup'!F50)^(-10),SUM('R2U_Calculations'!H16:H17)+SUM('R2U_Calculations'!H16:H17)*(1+'R2U_Setup'!F50)^(-5)+SUM('R2U_Calculations'!H16:H17)*(1+'R2U_Setup'!F50)^(-10)+SUM('R2U_Calculations'!H16:H17)*(1+'R2U_Setup'!F50)^(-15)))+IF('R2U_Setup'!F57=20,SUM('R2U_Calculations'!H18:H27),IF('R2U_Setup'!F57=10,SUM('R2U_Calculations'!H18:H27)+SUM('R2U_Calculations'!H18:H27)*(1+'R2U_Setup'!F50)^(-10),SUM('R2U_Calculations'!H18:H27)+SUM('R2U_Calculations'!H18:H27)*(1+'R2U_Setup'!F50)^(-5)+SUM('R2U_Calculations'!H18:H27)*(1+'R2U_Setup'!F50)^(-10)+SUM('R2U_Calculations'!H18:H27)*(1+'R2U_Setup'!F50)^(-15)))</f>
        <v>10500</v>
      </c>
      <c r="J31" s="696"/>
      <c r="K31" s="14" t="s">
        <v>215</v>
      </c>
      <c r="L31" s="75">
        <f>'R2U_Setup'!F82</f>
        <v>2.4E-2</v>
      </c>
      <c r="N31" s="571"/>
      <c r="O31" s="689"/>
      <c r="Q31" s="571"/>
      <c r="R31" s="689"/>
      <c r="T31" s="571"/>
      <c r="U31" s="689"/>
      <c r="W31" s="571"/>
      <c r="X31" s="689"/>
      <c r="Z31" s="571"/>
      <c r="AA31" s="689"/>
      <c r="AC31" s="571"/>
      <c r="AD31" s="689"/>
      <c r="AF31" s="571"/>
      <c r="AG31" s="689"/>
      <c r="AI31" s="571"/>
      <c r="AJ31" s="689"/>
      <c r="AL31" s="571"/>
      <c r="AM31" s="689"/>
      <c r="AO31" s="571"/>
      <c r="AP31" s="689"/>
      <c r="AR31" s="571"/>
      <c r="AS31" s="689"/>
      <c r="AU31" s="571"/>
      <c r="AV31" s="689"/>
      <c r="AX31" s="571"/>
      <c r="AY31" s="689"/>
      <c r="BA31" s="571"/>
      <c r="BB31" s="689"/>
      <c r="BD31" s="571"/>
      <c r="BE31" s="689"/>
      <c r="BG31" s="571"/>
      <c r="BH31" s="689"/>
      <c r="BJ31" s="571"/>
      <c r="BK31" s="689"/>
      <c r="BM31" s="571"/>
      <c r="BN31" s="689"/>
      <c r="BP31" s="571"/>
      <c r="BQ31" s="689"/>
      <c r="BS31" s="571"/>
      <c r="BT31" s="689"/>
    </row>
    <row r="32" spans="2:72" x14ac:dyDescent="0.25">
      <c r="B32" s="7"/>
      <c r="C32" s="4"/>
      <c r="J32" s="696"/>
      <c r="K32" s="14" t="s">
        <v>216</v>
      </c>
      <c r="L32" s="75">
        <f>'R2U_Setup'!F83</f>
        <v>0.15820000000000001</v>
      </c>
      <c r="N32" s="571" t="s">
        <v>132</v>
      </c>
      <c r="O32" s="689">
        <f>'R2U_Project'!N19</f>
        <v>3.8600000000000002E-2</v>
      </c>
      <c r="Q32" s="571" t="s">
        <v>134</v>
      </c>
      <c r="R32" s="689">
        <f>IF('R2U_Project'!O19="Yes",'R2U_Project'!P19,'R2U_Project'!N19)</f>
        <v>7.5999999999999998E-2</v>
      </c>
      <c r="T32" s="571" t="s">
        <v>132</v>
      </c>
      <c r="U32" s="689">
        <f>'R2U_Project'!N20</f>
        <v>3.7999999999999999E-2</v>
      </c>
      <c r="W32" s="571" t="s">
        <v>134</v>
      </c>
      <c r="X32" s="689">
        <f>IF('R2U_Project'!O20="Yes",'R2U_Project'!P20,'R2U_Project'!N20)</f>
        <v>7.0000000000000007E-2</v>
      </c>
      <c r="Z32" s="571" t="s">
        <v>132</v>
      </c>
      <c r="AA32" s="689">
        <f>'R2U_Project'!N21</f>
        <v>4.3999999999999997E-2</v>
      </c>
      <c r="AC32" s="571" t="s">
        <v>134</v>
      </c>
      <c r="AD32" s="689">
        <f>IF('R2U_Project'!O21="Yes",'R2U_Project'!P21,'R2U_Project'!N21)</f>
        <v>7.0000000000000007E-2</v>
      </c>
      <c r="AF32" s="571" t="s">
        <v>132</v>
      </c>
      <c r="AG32" s="689">
        <f>'R2U_Project'!N22</f>
        <v>4.3999999999999997E-2</v>
      </c>
      <c r="AI32" s="571" t="s">
        <v>134</v>
      </c>
      <c r="AJ32" s="689">
        <f>IF('R2U_Project'!O22="Yes",'R2U_Project'!P22,'R2U_Project'!N22)</f>
        <v>7.0000000000000007E-2</v>
      </c>
      <c r="AL32" s="571" t="s">
        <v>132</v>
      </c>
      <c r="AM32" s="689">
        <f>'R2U_Project'!N23</f>
        <v>4.3999999999999997E-2</v>
      </c>
      <c r="AO32" s="571" t="s">
        <v>134</v>
      </c>
      <c r="AP32" s="689">
        <f>IF('R2U_Project'!O23="Yes",'R2U_Project'!P23,'R2U_Project'!N23)</f>
        <v>7.0000000000000007E-2</v>
      </c>
      <c r="AR32" s="571" t="s">
        <v>132</v>
      </c>
      <c r="AS32" s="689">
        <f>'R2U_Project'!N24</f>
        <v>4.3999999999999997E-2</v>
      </c>
      <c r="AU32" s="571" t="s">
        <v>134</v>
      </c>
      <c r="AV32" s="689">
        <f>IF('R2U_Project'!O24="Yes",'R2U_Project'!P24,'R2U_Project'!N24)</f>
        <v>7.0000000000000007E-2</v>
      </c>
      <c r="AX32" s="571" t="s">
        <v>132</v>
      </c>
      <c r="AY32" s="689">
        <f>'R2U_Project'!N25</f>
        <v>5.1999999999999998E-2</v>
      </c>
      <c r="BA32" s="571" t="s">
        <v>134</v>
      </c>
      <c r="BB32" s="689">
        <f>IF('R2U_Project'!O25="Yes",'R2U_Project'!P25,'R2U_Project'!N25)</f>
        <v>7.0000000000000007E-2</v>
      </c>
      <c r="BD32" s="571" t="s">
        <v>132</v>
      </c>
      <c r="BE32" s="689">
        <f>'R2U_Project'!N26</f>
        <v>5.1999999999999998E-2</v>
      </c>
      <c r="BG32" s="571" t="s">
        <v>134</v>
      </c>
      <c r="BH32" s="689">
        <f>IF('R2U_Project'!O26="Yes",'R2U_Project'!P26,'R2U_Project'!N26)</f>
        <v>7.0000000000000007E-2</v>
      </c>
      <c r="BJ32" s="571" t="s">
        <v>132</v>
      </c>
      <c r="BK32" s="689">
        <f>'R2U_Project'!N27</f>
        <v>5.1999999999999998E-2</v>
      </c>
      <c r="BM32" s="571" t="s">
        <v>134</v>
      </c>
      <c r="BN32" s="689">
        <f>IF('R2U_Project'!O27="Yes",'R2U_Project'!P27,'R2U_Project'!N27)</f>
        <v>7.0000000000000007E-2</v>
      </c>
      <c r="BP32" s="571" t="s">
        <v>132</v>
      </c>
      <c r="BQ32" s="689">
        <f>'R2U_Project'!N28</f>
        <v>5.1999999999999998E-2</v>
      </c>
      <c r="BS32" s="571" t="s">
        <v>134</v>
      </c>
      <c r="BT32" s="689">
        <f>IF('R2U_Project'!O28="Yes",'R2U_Project'!P28,'R2U_Project'!N28)</f>
        <v>7.0000000000000007E-2</v>
      </c>
    </row>
    <row r="33" spans="2:72" x14ac:dyDescent="0.25">
      <c r="D33" s="19" t="s">
        <v>33</v>
      </c>
      <c r="E33" s="19" t="s">
        <v>295</v>
      </c>
      <c r="F33" s="565" t="s">
        <v>294</v>
      </c>
      <c r="G33" s="565"/>
      <c r="J33" s="696"/>
      <c r="K33" s="21" t="s">
        <v>217</v>
      </c>
      <c r="L33" s="75">
        <f>'R2U_Setup'!F84</f>
        <v>5.6000000000000001E-2</v>
      </c>
      <c r="N33" s="571"/>
      <c r="O33" s="689"/>
      <c r="Q33" s="571"/>
      <c r="R33" s="689"/>
      <c r="T33" s="571"/>
      <c r="U33" s="689"/>
      <c r="W33" s="571"/>
      <c r="X33" s="689"/>
      <c r="Z33" s="571"/>
      <c r="AA33" s="689"/>
      <c r="AC33" s="571"/>
      <c r="AD33" s="689"/>
      <c r="AF33" s="571"/>
      <c r="AG33" s="689"/>
      <c r="AI33" s="571"/>
      <c r="AJ33" s="689"/>
      <c r="AL33" s="571"/>
      <c r="AM33" s="689"/>
      <c r="AO33" s="571"/>
      <c r="AP33" s="689"/>
      <c r="AR33" s="571"/>
      <c r="AS33" s="689"/>
      <c r="AU33" s="571"/>
      <c r="AV33" s="689"/>
      <c r="AX33" s="571"/>
      <c r="AY33" s="689"/>
      <c r="BA33" s="571"/>
      <c r="BB33" s="689"/>
      <c r="BD33" s="571"/>
      <c r="BE33" s="689"/>
      <c r="BG33" s="571"/>
      <c r="BH33" s="689"/>
      <c r="BJ33" s="571"/>
      <c r="BK33" s="689"/>
      <c r="BM33" s="571"/>
      <c r="BN33" s="689"/>
      <c r="BP33" s="571"/>
      <c r="BQ33" s="689"/>
      <c r="BS33" s="571"/>
      <c r="BT33" s="689"/>
    </row>
    <row r="34" spans="2:72" x14ac:dyDescent="0.25">
      <c r="B34" s="695" t="s">
        <v>92</v>
      </c>
      <c r="C34" s="20" t="s">
        <v>29</v>
      </c>
      <c r="D34" s="62">
        <v>0</v>
      </c>
      <c r="E34" s="230">
        <f>D34*$C$30</f>
        <v>0</v>
      </c>
      <c r="F34" s="698">
        <f>D34*$C$31</f>
        <v>0</v>
      </c>
      <c r="G34" s="699"/>
      <c r="J34" s="697"/>
      <c r="K34" s="21" t="s">
        <v>218</v>
      </c>
      <c r="L34" s="75">
        <f>'R2U_Setup'!F85</f>
        <v>1.03E-2</v>
      </c>
      <c r="N34" s="571" t="s">
        <v>133</v>
      </c>
      <c r="O34" s="689">
        <f>O30-O32</f>
        <v>3.7399999999999996E-2</v>
      </c>
      <c r="Q34" s="571" t="s">
        <v>133</v>
      </c>
      <c r="R34" s="689">
        <f>R30-R32</f>
        <v>0</v>
      </c>
      <c r="T34" s="571" t="s">
        <v>133</v>
      </c>
      <c r="U34" s="689">
        <f>U30-U32</f>
        <v>3.2000000000000008E-2</v>
      </c>
      <c r="W34" s="571" t="s">
        <v>133</v>
      </c>
      <c r="X34" s="689">
        <f>X30-X32</f>
        <v>0</v>
      </c>
      <c r="Z34" s="571" t="s">
        <v>133</v>
      </c>
      <c r="AA34" s="689">
        <f>AA30-AA32</f>
        <v>2.6000000000000009E-2</v>
      </c>
      <c r="AC34" s="571" t="s">
        <v>133</v>
      </c>
      <c r="AD34" s="689">
        <f>AD30-AD32</f>
        <v>0</v>
      </c>
      <c r="AF34" s="571" t="s">
        <v>133</v>
      </c>
      <c r="AG34" s="689">
        <f>AG30-AG32</f>
        <v>2.6000000000000009E-2</v>
      </c>
      <c r="AI34" s="571" t="s">
        <v>133</v>
      </c>
      <c r="AJ34" s="689">
        <f>AJ30-AJ32</f>
        <v>0</v>
      </c>
      <c r="AL34" s="571" t="s">
        <v>133</v>
      </c>
      <c r="AM34" s="689">
        <f>AM30-AM32</f>
        <v>2.6000000000000009E-2</v>
      </c>
      <c r="AO34" s="571" t="s">
        <v>133</v>
      </c>
      <c r="AP34" s="689">
        <f>AP30-AP32</f>
        <v>0</v>
      </c>
      <c r="AR34" s="571" t="s">
        <v>133</v>
      </c>
      <c r="AS34" s="689">
        <f>AS30-AS32</f>
        <v>2.6000000000000009E-2</v>
      </c>
      <c r="AU34" s="571" t="s">
        <v>133</v>
      </c>
      <c r="AV34" s="689">
        <f>AV30-AV32</f>
        <v>0</v>
      </c>
      <c r="AX34" s="571" t="s">
        <v>133</v>
      </c>
      <c r="AY34" s="689">
        <f>AY30-AY32</f>
        <v>1.8000000000000009E-2</v>
      </c>
      <c r="BA34" s="571" t="s">
        <v>133</v>
      </c>
      <c r="BB34" s="689">
        <f>BB30-BB32</f>
        <v>0</v>
      </c>
      <c r="BD34" s="571" t="s">
        <v>133</v>
      </c>
      <c r="BE34" s="689">
        <f>BE30-BE32</f>
        <v>1.8000000000000009E-2</v>
      </c>
      <c r="BG34" s="571" t="s">
        <v>133</v>
      </c>
      <c r="BH34" s="689">
        <f>BH30-BH32</f>
        <v>0</v>
      </c>
      <c r="BJ34" s="571" t="s">
        <v>133</v>
      </c>
      <c r="BK34" s="689">
        <f>BK30-BK32</f>
        <v>1.8000000000000009E-2</v>
      </c>
      <c r="BM34" s="571" t="s">
        <v>133</v>
      </c>
      <c r="BN34" s="689">
        <f>BN30-BN32</f>
        <v>0</v>
      </c>
      <c r="BP34" s="571" t="s">
        <v>133</v>
      </c>
      <c r="BQ34" s="689">
        <f>BQ30-BQ32</f>
        <v>1.8000000000000009E-2</v>
      </c>
      <c r="BS34" s="571" t="s">
        <v>133</v>
      </c>
      <c r="BT34" s="689">
        <f>BT30-BT32</f>
        <v>0</v>
      </c>
    </row>
    <row r="35" spans="2:72" x14ac:dyDescent="0.25">
      <c r="B35" s="695"/>
      <c r="C35" s="20" t="s">
        <v>30</v>
      </c>
      <c r="D35" s="62">
        <v>0.5</v>
      </c>
      <c r="E35" s="230">
        <f>D35*$C$30</f>
        <v>5250</v>
      </c>
      <c r="F35" s="698">
        <f>D35*$C$31</f>
        <v>5250</v>
      </c>
      <c r="G35" s="699"/>
      <c r="J35" s="694" t="s">
        <v>49</v>
      </c>
      <c r="K35" s="14" t="s">
        <v>40</v>
      </c>
      <c r="L35" s="75">
        <f>'R2U_Setup'!F89</f>
        <v>1.54E-2</v>
      </c>
      <c r="N35" s="571"/>
      <c r="O35" s="690"/>
      <c r="Q35" s="571"/>
      <c r="R35" s="690"/>
      <c r="T35" s="571"/>
      <c r="U35" s="690"/>
      <c r="W35" s="571"/>
      <c r="X35" s="690"/>
      <c r="Z35" s="571"/>
      <c r="AA35" s="690"/>
      <c r="AC35" s="571"/>
      <c r="AD35" s="690"/>
      <c r="AF35" s="571"/>
      <c r="AG35" s="690"/>
      <c r="AI35" s="571"/>
      <c r="AJ35" s="690"/>
      <c r="AL35" s="571"/>
      <c r="AM35" s="690"/>
      <c r="AO35" s="571"/>
      <c r="AP35" s="690"/>
      <c r="AR35" s="571"/>
      <c r="AS35" s="690"/>
      <c r="AU35" s="571"/>
      <c r="AV35" s="690"/>
      <c r="AX35" s="571"/>
      <c r="AY35" s="690"/>
      <c r="BA35" s="571"/>
      <c r="BB35" s="690"/>
      <c r="BD35" s="571"/>
      <c r="BE35" s="690"/>
      <c r="BG35" s="571"/>
      <c r="BH35" s="690"/>
      <c r="BJ35" s="571"/>
      <c r="BK35" s="690"/>
      <c r="BM35" s="571"/>
      <c r="BN35" s="690"/>
      <c r="BP35" s="571"/>
      <c r="BQ35" s="690"/>
      <c r="BS35" s="571"/>
      <c r="BT35" s="690"/>
    </row>
    <row r="36" spans="2:72" x14ac:dyDescent="0.25">
      <c r="B36" s="695"/>
      <c r="C36" s="20" t="s">
        <v>31</v>
      </c>
      <c r="D36" s="62">
        <v>0</v>
      </c>
      <c r="E36" s="230">
        <f>D36*$C$30</f>
        <v>0</v>
      </c>
      <c r="F36" s="698">
        <f>D36*$C$31</f>
        <v>0</v>
      </c>
      <c r="G36" s="699"/>
      <c r="J36" s="694"/>
      <c r="K36" s="14" t="s">
        <v>54</v>
      </c>
      <c r="L36" s="75">
        <f>'R2U_Setup'!F90</f>
        <v>9.1700000000000004E-2</v>
      </c>
      <c r="N36" s="18" t="s">
        <v>118</v>
      </c>
      <c r="O36" s="81">
        <f>IF('R2U_Project'!$M$14&gt;=1,IF(O34&gt;=0.02,1.06+3*(O34-0.02),IF(O34&gt;=0.01,1+6*(O34-0.01),1)),1)</f>
        <v>1.1122000000000001</v>
      </c>
      <c r="Q36" s="18" t="s">
        <v>118</v>
      </c>
      <c r="R36" s="81">
        <f>IF('R2U_Project'!$M$14&gt;=1,IF(R34&gt;=0.02,1.06+3*(R34-0.02),IF(R34&gt;=0.01,1+6*(R34-0.01),1)),1)</f>
        <v>1</v>
      </c>
      <c r="T36" s="18" t="s">
        <v>118</v>
      </c>
      <c r="U36" s="81">
        <f>IF('R2U_Project'!$M$14&gt;=2,IF(U24&lt;&gt;0,IF(U34&gt;=0.02,1.06+3*(U34-0.02),IF(U34&gt;=0.01,1+6*(U34-0.01),1)),1),0)</f>
        <v>1.0960000000000001</v>
      </c>
      <c r="W36" s="18" t="s">
        <v>118</v>
      </c>
      <c r="X36" s="81">
        <f>IF('R2U_Project'!$M$14&gt;=2,IF(X24&lt;&gt;0,IF(X34&gt;=0.02,1.06+3*(X34-0.02),IF(X34&gt;=0.01,1+6*(X34-0.01),1)),1),0)</f>
        <v>1</v>
      </c>
      <c r="Z36" s="18" t="s">
        <v>118</v>
      </c>
      <c r="AA36" s="81">
        <f>IF('R2U_Project'!$M$14&gt;=3,IF(AA24&lt;&gt;0,IF(AA34&gt;=0.02,1.06+3*(AA34-0.02),IF(AA34&gt;=0.01,1+6*(AA34-0.01),1)),1),0)</f>
        <v>0</v>
      </c>
      <c r="AC36" s="18" t="s">
        <v>118</v>
      </c>
      <c r="AD36" s="81">
        <f>IF('R2U_Project'!$M$14&gt;=3,IF(AD24&lt;&gt;0,IF(AD34&gt;=0.02,1.06+3*(AD34-0.02),IF(AD34&gt;=0.01,1+6*(AD34-0.01),1)),1),0)</f>
        <v>0</v>
      </c>
      <c r="AF36" s="18" t="s">
        <v>118</v>
      </c>
      <c r="AG36" s="81">
        <f>IF('R2U_Project'!$M$14&gt;=4,IF(AG24&lt;&gt;0,IF(AG34&gt;=0.02,1.06+3*(AG34-0.02),IF(AG34&gt;=0.01,1+6*(AG34-0.01),1)),1),0)</f>
        <v>0</v>
      </c>
      <c r="AI36" s="18" t="s">
        <v>118</v>
      </c>
      <c r="AJ36" s="81">
        <f>IF('R2U_Project'!$M$14&gt;=4,IF(AJ24&lt;&gt;0,IF(AJ34&gt;=0.02,1.06+3*(AJ34-0.02),IF(AJ34&gt;=0.01,1+6*(AJ34-0.01),1)),1),0)</f>
        <v>0</v>
      </c>
      <c r="AL36" s="18" t="s">
        <v>118</v>
      </c>
      <c r="AM36" s="81">
        <f>IF('R2U_Project'!$M$14&gt;=5,IF(AM24&lt;&gt;0,IF(AM34&gt;=0.02,1.06+3*(AM34-0.02),IF(AM34&gt;=0.01,1+6*(AM34-0.01),1)),1),0)</f>
        <v>0</v>
      </c>
      <c r="AO36" s="18" t="s">
        <v>118</v>
      </c>
      <c r="AP36" s="81">
        <f>IF('R2U_Project'!$M$14&gt;=5,IF(AP24&lt;&gt;0,IF(AP34&gt;=0.02,1.06+3*(AP34-0.02),IF(AP34&gt;=0.01,1+6*(AP34-0.01),1)),1),0)</f>
        <v>0</v>
      </c>
      <c r="AR36" s="18" t="s">
        <v>118</v>
      </c>
      <c r="AS36" s="81">
        <f>IF('R2U_Project'!$M$14&gt;=6,IF(AS24&lt;&gt;0,IF(AS34&gt;=0.02,1.06+3*(AS34-0.02),IF(AS34&gt;=0.01,1+6*(AS34-0.01),1)),1),0)</f>
        <v>0</v>
      </c>
      <c r="AU36" s="18" t="s">
        <v>118</v>
      </c>
      <c r="AV36" s="81">
        <f>IF('R2U_Project'!$M$14&gt;=6,IF(AV24&lt;&gt;0,IF(AV34&gt;=0.02,1.06+3*(AV34-0.02),IF(AV34&gt;=0.01,1+6*(AV34-0.01),1)),1),0)</f>
        <v>0</v>
      </c>
      <c r="AX36" s="18" t="s">
        <v>118</v>
      </c>
      <c r="AY36" s="81">
        <f>IF('R2U_Project'!$M$14&gt;=7,IF(AY24&lt;&gt;0,IF(AY34&gt;=0.02,1.06+3*(AY34-0.02),IF(AY34&gt;=0.01,1+6*(AY34-0.01),1)),1),0)</f>
        <v>0</v>
      </c>
      <c r="BA36" s="18" t="s">
        <v>118</v>
      </c>
      <c r="BB36" s="81">
        <f>IF('R2U_Project'!$M$14&gt;=7,IF(BB24&lt;&gt;0,IF(BB34&gt;=0.02,1.06+3*(BB34-0.02),IF(BB34&gt;=0.01,1+6*(BB34-0.01),1)),1),0)</f>
        <v>0</v>
      </c>
      <c r="BD36" s="18" t="s">
        <v>118</v>
      </c>
      <c r="BE36" s="81">
        <f>IF('R2U_Project'!$M$14&gt;=8,IF(BE24&lt;&gt;0,IF(BE34&gt;=0.02,1.06+3*(BE34-0.02),IF(BE34&gt;=0.01,1+6*(BE34-0.01),1)),1),0)</f>
        <v>0</v>
      </c>
      <c r="BG36" s="18" t="s">
        <v>118</v>
      </c>
      <c r="BH36" s="81">
        <f>IF('R2U_Project'!$M$14&gt;=8,IF(BH24&lt;&gt;0,IF(BH34&gt;=0.02,1.06+3*(BH34-0.02),IF(BH34&gt;=0.01,1+6*(BH34-0.01),1)),1),0)</f>
        <v>0</v>
      </c>
      <c r="BJ36" s="18" t="s">
        <v>118</v>
      </c>
      <c r="BK36" s="81">
        <f>IF('R2U_Project'!$M$14&gt;=9,IF(BK24&lt;&gt;0,IF(BK34&gt;=0.02,1.06+3*(BK34-0.02),IF(BK34&gt;=0.01,1+6*(BK34-0.01),1)),1),0)</f>
        <v>0</v>
      </c>
      <c r="BM36" s="18" t="s">
        <v>118</v>
      </c>
      <c r="BN36" s="81">
        <f>IF('R2U_Project'!$M$14&gt;=9,IF(BN24&lt;&gt;0,IF(BN34&gt;=0.02,1.06+3*(BN34-0.02),IF(BN34&gt;=0.01,1+6*(BN34-0.01),1)),1),0)</f>
        <v>0</v>
      </c>
      <c r="BP36" s="18" t="s">
        <v>118</v>
      </c>
      <c r="BQ36" s="81">
        <f>IF('R2U_Project'!$M$14&gt;=10,IF(BQ24&lt;&gt;0,IF(BQ34&gt;=0.02,1.06+3*(BQ34-0.02),IF(BQ34&gt;=0.01,1+6*(BQ34-0.01),1)),1),0)</f>
        <v>0</v>
      </c>
      <c r="BS36" s="18" t="s">
        <v>118</v>
      </c>
      <c r="BT36" s="81">
        <f>IF('R2U_Project'!$M$14&gt;=10,IF(BT24&lt;&gt;0,IF(BT34&gt;=0.02,1.06+3*(BT34-0.02),IF(BT34&gt;=0.01,1+6*(BT34-0.01),1)),1),0)</f>
        <v>0</v>
      </c>
    </row>
    <row r="37" spans="2:72" x14ac:dyDescent="0.25">
      <c r="B37" s="695"/>
      <c r="C37" s="20" t="s">
        <v>99</v>
      </c>
      <c r="D37" s="62">
        <v>0</v>
      </c>
      <c r="E37" s="230">
        <f>D37*$C$30</f>
        <v>0</v>
      </c>
      <c r="F37" s="698">
        <f>D37*$C$31</f>
        <v>0</v>
      </c>
      <c r="G37" s="699"/>
      <c r="J37" s="694"/>
      <c r="K37" s="14" t="s">
        <v>42</v>
      </c>
      <c r="L37" s="75">
        <f>'R2U_Setup'!F91</f>
        <v>0.1381</v>
      </c>
      <c r="AA37" s="89"/>
    </row>
    <row r="38" spans="2:72" x14ac:dyDescent="0.25">
      <c r="J38" s="694"/>
      <c r="K38" s="14" t="s">
        <v>43</v>
      </c>
      <c r="L38" s="75">
        <f>'R2U_Setup'!F92</f>
        <v>6.4399999999999999E-2</v>
      </c>
      <c r="N38" s="565" t="s">
        <v>232</v>
      </c>
      <c r="O38" s="565"/>
      <c r="P38" s="565"/>
      <c r="Q38" s="565"/>
      <c r="R38" s="565"/>
    </row>
    <row r="39" spans="2:72" x14ac:dyDescent="0.25">
      <c r="B39" s="24" t="s">
        <v>292</v>
      </c>
      <c r="C39" s="230">
        <f>C30+SUM($E$34:$E$37)</f>
        <v>15750</v>
      </c>
      <c r="E39" s="407"/>
      <c r="F39" s="527"/>
      <c r="G39" s="527"/>
      <c r="J39" s="694"/>
      <c r="K39" s="14" t="s">
        <v>44</v>
      </c>
      <c r="L39" s="75">
        <f>'R2U_Setup'!F93</f>
        <v>0.69040000000000001</v>
      </c>
      <c r="N39" s="691" t="s">
        <v>129</v>
      </c>
      <c r="O39" s="691"/>
      <c r="Q39" s="691" t="s">
        <v>130</v>
      </c>
      <c r="R39" s="691"/>
      <c r="W39" s="122"/>
    </row>
    <row r="40" spans="2:72" x14ac:dyDescent="0.25">
      <c r="B40" s="24" t="s">
        <v>293</v>
      </c>
      <c r="C40" s="230">
        <f>C31+SUM($F$34:$F$37)</f>
        <v>15750</v>
      </c>
      <c r="E40" s="407"/>
      <c r="F40" s="527"/>
      <c r="G40" s="527"/>
      <c r="J40" s="695" t="s">
        <v>111</v>
      </c>
      <c r="K40" s="15" t="s">
        <v>34</v>
      </c>
      <c r="L40" s="76">
        <f>'R2U_Setup'!F52</f>
        <v>20</v>
      </c>
      <c r="N40" s="13" t="s">
        <v>175</v>
      </c>
      <c r="O40" s="1" t="str">
        <f>'R2U_Ref'!E108</f>
        <v>1V:2H</v>
      </c>
      <c r="Q40" s="13" t="s">
        <v>175</v>
      </c>
      <c r="R40" s="1" t="str">
        <f>'R2U_Ref'!N10</f>
        <v>1V:3H</v>
      </c>
    </row>
    <row r="41" spans="2:72" x14ac:dyDescent="0.25">
      <c r="B41" s="5"/>
      <c r="J41" s="695"/>
      <c r="K41" s="15" t="s">
        <v>35</v>
      </c>
      <c r="L41" s="76">
        <f>'R2U_Setup'!F52</f>
        <v>20</v>
      </c>
      <c r="N41" s="18" t="s">
        <v>118</v>
      </c>
      <c r="O41" s="81">
        <f>VLOOKUP(O40,'R2U_Ref'!$A$176:$B$179,2)</f>
        <v>1.01</v>
      </c>
      <c r="Q41" s="18" t="s">
        <v>118</v>
      </c>
      <c r="R41" s="81">
        <f>VLOOKUP(R40,'R2U_Ref'!$A$176:$B$179,2)</f>
        <v>1</v>
      </c>
    </row>
    <row r="42" spans="2:72" x14ac:dyDescent="0.25">
      <c r="B42" s="23" t="s">
        <v>296</v>
      </c>
      <c r="C42" s="230">
        <f>C39-$H$4-$H$5-$E$37-SUM(D34:D36)*SUM(H4:H5)+H28</f>
        <v>15750</v>
      </c>
      <c r="J42" s="695"/>
      <c r="K42" s="15" t="s">
        <v>36</v>
      </c>
      <c r="L42" s="76">
        <f>'R2U_Setup'!F52</f>
        <v>20</v>
      </c>
    </row>
    <row r="43" spans="2:72" x14ac:dyDescent="0.25">
      <c r="B43" s="23" t="s">
        <v>297</v>
      </c>
      <c r="C43" s="230">
        <f>C40-$H$4-$H$5-$F$37-SUM(D34:D36)*(IF('R2U_Setup'!F52=20,SUM('R2U_Calculations'!H4:H5),IF('R2U_Setup'!F52=10,SUM('R2U_Calculations'!H4:H5)+SUM('R2U_Calculations'!H4:H5)*(1+'R2U_Setup'!F50)^(-10),SUM('R2U_Calculations'!H4:H5)+SUM('R2U_Calculations'!H4:H5)*(1+'R2U_Setup'!F50)^(-5)+SUM('R2U_Calculations'!H4:H5)*(1+'R2U_Setup'!F50)^(-10)+SUM('R2U_Calculations'!H4:H5)*(1+'R2U_Setup'!F50)^(-15))))+H28</f>
        <v>15750</v>
      </c>
      <c r="J43" s="695"/>
      <c r="K43" s="15" t="s">
        <v>37</v>
      </c>
      <c r="L43" s="76">
        <f>'R2U_Setup'!F55</f>
        <v>20</v>
      </c>
      <c r="N43" s="565" t="s">
        <v>136</v>
      </c>
      <c r="O43" s="565"/>
      <c r="P43" s="565"/>
      <c r="Q43" s="565"/>
      <c r="R43" s="565"/>
    </row>
    <row r="44" spans="2:72" x14ac:dyDescent="0.25">
      <c r="B44" t="s">
        <v>726</v>
      </c>
      <c r="J44" s="695"/>
      <c r="K44" s="15" t="s">
        <v>38</v>
      </c>
      <c r="L44" s="76">
        <f>'R2U_Setup'!F56</f>
        <v>5</v>
      </c>
      <c r="N44" s="691" t="s">
        <v>129</v>
      </c>
      <c r="O44" s="691"/>
      <c r="Q44" s="691" t="s">
        <v>130</v>
      </c>
      <c r="R44" s="691"/>
    </row>
    <row r="45" spans="2:72" x14ac:dyDescent="0.25">
      <c r="J45" s="695"/>
      <c r="K45" s="22" t="s">
        <v>39</v>
      </c>
      <c r="L45" s="76">
        <f>'R2U_Setup'!F57</f>
        <v>20</v>
      </c>
      <c r="N45" s="13" t="s">
        <v>137</v>
      </c>
      <c r="O45" s="1" t="str">
        <f>IF('R2U_Ref'!C111=1,"Yes","No")</f>
        <v>No</v>
      </c>
      <c r="Q45" s="13" t="s">
        <v>137</v>
      </c>
      <c r="R45" s="1" t="str">
        <f>IF('R2U_Ref'!N11=1,"Yes","No")</f>
        <v>No</v>
      </c>
    </row>
    <row r="46" spans="2:72" x14ac:dyDescent="0.25">
      <c r="J46" s="694" t="s">
        <v>112</v>
      </c>
      <c r="K46" s="15" t="s">
        <v>222</v>
      </c>
      <c r="L46" s="232">
        <f>'R2U_Setup'!F59</f>
        <v>1571053</v>
      </c>
      <c r="N46" s="18" t="s">
        <v>118</v>
      </c>
      <c r="O46" s="81">
        <f>IF(O45="Yes",0.94,1)</f>
        <v>1</v>
      </c>
      <c r="Q46" s="18" t="s">
        <v>118</v>
      </c>
      <c r="R46" s="81">
        <f>IF(R45="Yes",0.94,1)</f>
        <v>1</v>
      </c>
    </row>
    <row r="47" spans="2:72" x14ac:dyDescent="0.25">
      <c r="J47" s="694"/>
      <c r="K47" s="15" t="s">
        <v>233</v>
      </c>
      <c r="L47" s="232">
        <f>'R2U_Setup'!F60</f>
        <v>1571053</v>
      </c>
    </row>
    <row r="48" spans="2:72" x14ac:dyDescent="0.25">
      <c r="J48" s="694"/>
      <c r="K48" s="15" t="s">
        <v>224</v>
      </c>
      <c r="L48" s="232">
        <f>'R2U_Setup'!F61</f>
        <v>128959</v>
      </c>
      <c r="N48" s="565" t="s">
        <v>138</v>
      </c>
      <c r="O48" s="565"/>
      <c r="P48" s="565"/>
      <c r="Q48" s="565"/>
      <c r="R48" s="565"/>
    </row>
    <row r="49" spans="10:18" x14ac:dyDescent="0.25">
      <c r="J49" s="694"/>
      <c r="K49" s="15" t="s">
        <v>225</v>
      </c>
      <c r="L49" s="232">
        <f>'R2U_Setup'!F62</f>
        <v>128959</v>
      </c>
      <c r="N49" s="691" t="s">
        <v>129</v>
      </c>
      <c r="O49" s="691"/>
      <c r="Q49" s="691" t="s">
        <v>130</v>
      </c>
      <c r="R49" s="691"/>
    </row>
    <row r="50" spans="10:18" x14ac:dyDescent="0.25">
      <c r="J50" s="694"/>
      <c r="K50" s="15" t="s">
        <v>226</v>
      </c>
      <c r="L50" s="232">
        <f>'R2U_Setup'!F63</f>
        <v>9624</v>
      </c>
      <c r="N50" s="13" t="s">
        <v>137</v>
      </c>
      <c r="O50" s="1" t="str">
        <f>IF('R2U_Ref'!C114=1,"Yes","No")</f>
        <v>No</v>
      </c>
      <c r="Q50" s="13" t="s">
        <v>137</v>
      </c>
      <c r="R50" s="1" t="str">
        <f>IF('R2U_Ref'!N12=1,"Yes","No")</f>
        <v>No</v>
      </c>
    </row>
    <row r="51" spans="10:18" x14ac:dyDescent="0.25">
      <c r="J51" s="17" t="s">
        <v>23</v>
      </c>
      <c r="K51" s="1"/>
      <c r="L51" s="77">
        <f>'R2U_Setup'!F50</f>
        <v>7.0000000000000007E-2</v>
      </c>
      <c r="N51" s="112" t="s">
        <v>117</v>
      </c>
      <c r="O51" s="113">
        <f>L28</f>
        <v>0.46089999999999998</v>
      </c>
      <c r="Q51" s="112" t="s">
        <v>117</v>
      </c>
      <c r="R51" s="113">
        <f>L28</f>
        <v>0.46089999999999998</v>
      </c>
    </row>
    <row r="52" spans="10:18" ht="15" customHeight="1" x14ac:dyDescent="0.25">
      <c r="J52" s="694" t="str">
        <f>IF('R2U_Ref'!C19=1,"Expected Before Crash Frequency (EB Methodology)","Predicted Before Crash Frequency (non EB Methodology)")</f>
        <v>Expected Before Crash Frequency (EB Methodology)</v>
      </c>
      <c r="K52" s="15" t="s">
        <v>222</v>
      </c>
      <c r="L52" s="228">
        <f>$L$57*L35</f>
        <v>5.8202105530415979E-3</v>
      </c>
      <c r="N52" s="18" t="s">
        <v>118</v>
      </c>
      <c r="O52" s="81">
        <f>IF(O50="Yes",(0.85-1)*O51+1,1)</f>
        <v>1</v>
      </c>
      <c r="Q52" s="18" t="s">
        <v>118</v>
      </c>
      <c r="R52" s="81">
        <f>IF(R50="Yes",(0.85-1)*R51+1,1)</f>
        <v>1</v>
      </c>
    </row>
    <row r="53" spans="10:18" ht="15" customHeight="1" x14ac:dyDescent="0.25">
      <c r="J53" s="694"/>
      <c r="K53" s="15" t="s">
        <v>233</v>
      </c>
      <c r="L53" s="228">
        <f t="shared" ref="L53:L56" si="1">$L$57*L36</f>
        <v>3.4656708293111335E-2</v>
      </c>
    </row>
    <row r="54" spans="10:18" x14ac:dyDescent="0.25">
      <c r="J54" s="694"/>
      <c r="K54" s="15" t="s">
        <v>224</v>
      </c>
      <c r="L54" s="228">
        <f t="shared" si="1"/>
        <v>5.2192927102275626E-2</v>
      </c>
      <c r="N54" s="565" t="s">
        <v>284</v>
      </c>
      <c r="O54" s="565"/>
      <c r="P54" s="565"/>
      <c r="Q54" s="565"/>
      <c r="R54" s="565"/>
    </row>
    <row r="55" spans="10:18" x14ac:dyDescent="0.25">
      <c r="J55" s="694"/>
      <c r="K55" s="15" t="s">
        <v>225</v>
      </c>
      <c r="L55" s="228">
        <f t="shared" si="1"/>
        <v>2.4339062312719408E-2</v>
      </c>
      <c r="N55" s="700"/>
      <c r="O55" s="701"/>
      <c r="P55" s="125"/>
      <c r="Q55" s="691" t="s">
        <v>130</v>
      </c>
      <c r="R55" s="691"/>
    </row>
    <row r="56" spans="10:18" ht="15" customHeight="1" x14ac:dyDescent="0.25">
      <c r="J56" s="694"/>
      <c r="K56" s="15" t="s">
        <v>226</v>
      </c>
      <c r="L56" s="228">
        <f t="shared" si="1"/>
        <v>0.2609268419363584</v>
      </c>
      <c r="N56" s="7"/>
      <c r="O56" s="7"/>
      <c r="Q56" s="13" t="s">
        <v>137</v>
      </c>
      <c r="R56" s="1" t="str">
        <f>IF('R2U_Ref'!N13=1,"Yes","No")</f>
        <v>No</v>
      </c>
    </row>
    <row r="57" spans="10:18" x14ac:dyDescent="0.25">
      <c r="J57" s="694"/>
      <c r="K57" s="15" t="s">
        <v>378</v>
      </c>
      <c r="L57" s="370">
        <f>IF('R2U_Ref'!C19=1,'R2U_Calculations'!L73,'R2U_Calculations'!L4*'R2U_Calculations'!L7*'R2U_Calculations'!L8*'R2U_Calculations'!L9*'R2U_Calculations'!L10*'R2U_Calculations'!L11*'R2U_Calculations'!L12*'R2U_Calculations'!L13*'R2U_Calculations'!L23)</f>
        <v>0.37793575019750636</v>
      </c>
      <c r="N57" s="123"/>
      <c r="O57" s="124"/>
      <c r="P57" s="3"/>
      <c r="Q57" s="18" t="s">
        <v>118</v>
      </c>
      <c r="R57" s="81">
        <f>IF(R56="Yes",0.76,1)</f>
        <v>1</v>
      </c>
    </row>
    <row r="58" spans="10:18" x14ac:dyDescent="0.25">
      <c r="J58" s="694" t="str">
        <f>IF('R2U_Ref'!C19=1,"Expected Crash Frequency Reduction (EB Methodology)","Predicted Crash Frequency Reduction (non EB Methodology)")</f>
        <v>Expected Crash Frequency Reduction (EB Methodology)</v>
      </c>
      <c r="K58" s="15" t="s">
        <v>222</v>
      </c>
      <c r="L58" s="228">
        <f>$L$63*L35</f>
        <v>5.7625847059817855E-5</v>
      </c>
      <c r="N58" s="4"/>
      <c r="O58" s="4"/>
    </row>
    <row r="59" spans="10:18" x14ac:dyDescent="0.25">
      <c r="J59" s="694"/>
      <c r="K59" s="15" t="s">
        <v>233</v>
      </c>
      <c r="L59" s="228">
        <f t="shared" ref="L59:L62" si="2">$L$63*L36</f>
        <v>3.4313572567436993E-4</v>
      </c>
      <c r="N59" s="565" t="s">
        <v>409</v>
      </c>
      <c r="O59" s="565"/>
      <c r="P59" s="565"/>
      <c r="Q59" s="565"/>
      <c r="R59" s="565"/>
    </row>
    <row r="60" spans="10:18" x14ac:dyDescent="0.25">
      <c r="J60" s="694"/>
      <c r="K60" s="15" t="s">
        <v>224</v>
      </c>
      <c r="L60" s="228">
        <f t="shared" si="2"/>
        <v>5.1676165447797693E-4</v>
      </c>
      <c r="N60" s="700"/>
      <c r="O60" s="701"/>
      <c r="P60" s="125"/>
      <c r="Q60" s="691" t="s">
        <v>130</v>
      </c>
      <c r="R60" s="691"/>
    </row>
    <row r="61" spans="10:18" x14ac:dyDescent="0.25">
      <c r="J61" s="694"/>
      <c r="K61" s="15" t="s">
        <v>225</v>
      </c>
      <c r="L61" s="228">
        <f t="shared" si="2"/>
        <v>2.4098081497742009E-4</v>
      </c>
      <c r="N61" s="7"/>
      <c r="O61" s="7"/>
      <c r="Q61" s="13" t="s">
        <v>410</v>
      </c>
      <c r="R61" s="384">
        <f>'R2U_Ref'!B184/('R2U_Project'!C4*2)</f>
        <v>0</v>
      </c>
    </row>
    <row r="62" spans="10:18" x14ac:dyDescent="0.25">
      <c r="J62" s="694"/>
      <c r="K62" s="15" t="s">
        <v>226</v>
      </c>
      <c r="L62" s="228">
        <f t="shared" si="2"/>
        <v>2.5834340785778082E-3</v>
      </c>
      <c r="N62" s="123"/>
      <c r="O62" s="124"/>
      <c r="P62" s="3"/>
      <c r="Q62" s="112" t="s">
        <v>411</v>
      </c>
      <c r="R62" s="385">
        <f>'R2U_Ref'!B185/'R2U_Project'!C4</f>
        <v>0</v>
      </c>
    </row>
    <row r="63" spans="10:18" x14ac:dyDescent="0.25">
      <c r="J63" s="694"/>
      <c r="K63" s="15" t="s">
        <v>378</v>
      </c>
      <c r="L63" s="370">
        <f>IF('R2U_Ref'!C19=1,L74,L4*L23*(L7*L8*L9*L10*L11*L12*L13-L14*L15*L16*L17*L18*L19*L20*L21*L22))</f>
        <v>3.7419381207673928E-3</v>
      </c>
      <c r="Q63" s="18" t="s">
        <v>118</v>
      </c>
      <c r="R63" s="81">
        <f>(0.65-1)*R62+(0.75-1)*(R61-R62)+1</f>
        <v>1</v>
      </c>
    </row>
    <row r="64" spans="10:18" x14ac:dyDescent="0.25">
      <c r="J64" s="694" t="str">
        <f>IF('R2U_Ref'!C19=1,"Expected After Crash Frequency (EB Methodology)","Predicted After Crash Frequency (non EB Methodology)")</f>
        <v>Expected After Crash Frequency (EB Methodology)</v>
      </c>
      <c r="K64" s="15" t="s">
        <v>222</v>
      </c>
      <c r="L64" s="228">
        <f>L52-L58</f>
        <v>5.7625847059817803E-3</v>
      </c>
    </row>
    <row r="65" spans="10:17" x14ac:dyDescent="0.25">
      <c r="J65" s="694"/>
      <c r="K65" s="15" t="s">
        <v>233</v>
      </c>
      <c r="L65" s="228">
        <f t="shared" ref="L65:L69" si="3">L53-L59</f>
        <v>3.4313572567436966E-2</v>
      </c>
    </row>
    <row r="66" spans="10:17" x14ac:dyDescent="0.25">
      <c r="J66" s="694"/>
      <c r="K66" s="15" t="s">
        <v>224</v>
      </c>
      <c r="L66" s="228">
        <f t="shared" si="3"/>
        <v>5.1676165447797649E-2</v>
      </c>
      <c r="Q66" s="386"/>
    </row>
    <row r="67" spans="10:17" x14ac:dyDescent="0.25">
      <c r="J67" s="694"/>
      <c r="K67" s="15" t="s">
        <v>225</v>
      </c>
      <c r="L67" s="228">
        <f t="shared" si="3"/>
        <v>2.4098081497741987E-2</v>
      </c>
    </row>
    <row r="68" spans="10:17" x14ac:dyDescent="0.25">
      <c r="J68" s="694"/>
      <c r="K68" s="15" t="s">
        <v>226</v>
      </c>
      <c r="L68" s="228">
        <f t="shared" si="3"/>
        <v>0.25834340785778059</v>
      </c>
    </row>
    <row r="69" spans="10:17" x14ac:dyDescent="0.25">
      <c r="J69" s="694"/>
      <c r="K69" s="15" t="s">
        <v>378</v>
      </c>
      <c r="L69" s="228">
        <f t="shared" si="3"/>
        <v>0.37419381207673896</v>
      </c>
    </row>
    <row r="71" spans="10:17" x14ac:dyDescent="0.25">
      <c r="J71" s="560" t="s">
        <v>326</v>
      </c>
      <c r="K71" s="1" t="s">
        <v>328</v>
      </c>
      <c r="L71" s="228">
        <f>L4*L7*L8*L9*L10*L11*L12*L13*L23</f>
        <v>0.10380520563583337</v>
      </c>
    </row>
    <row r="72" spans="10:17" x14ac:dyDescent="0.25">
      <c r="J72" s="561"/>
      <c r="K72" s="1" t="s">
        <v>327</v>
      </c>
      <c r="L72" s="227">
        <f>1/(1+IF('R2U_Ref'!E67=1,0.236/'R2U_Project'!C4,'R2U_Setup'!I73)*'R2U_Calculations'!L71*'R2U_Project'!G23)</f>
        <v>0.57577723164512962</v>
      </c>
    </row>
    <row r="73" spans="10:17" x14ac:dyDescent="0.25">
      <c r="J73" s="561"/>
      <c r="K73" s="1" t="s">
        <v>329</v>
      </c>
      <c r="L73" s="228">
        <f>(L72*L71*'R2U_Project'!G23+(1-L72)*SUM('R2U_Project'!G24:G25))/'R2U_Project'!G23</f>
        <v>0.37793575019750636</v>
      </c>
    </row>
    <row r="74" spans="10:17" x14ac:dyDescent="0.25">
      <c r="J74" s="563"/>
      <c r="K74" s="1" t="s">
        <v>330</v>
      </c>
      <c r="L74" s="228">
        <f>(1-L15/L7*L16/L8*L17/L9*L18/L10*L19/L11*L20/L12*L21/L13*L22*L14)*L73</f>
        <v>3.7419381207673928E-3</v>
      </c>
    </row>
    <row r="75" spans="10:17" x14ac:dyDescent="0.25">
      <c r="L75" s="71"/>
    </row>
    <row r="76" spans="10:17" x14ac:dyDescent="0.25">
      <c r="J76" s="693" t="s">
        <v>285</v>
      </c>
      <c r="K76" s="693"/>
      <c r="L76" s="231">
        <f>IF('R2U_Ref'!C19=2,L4*L23*(L7*L8*L9*L10*L11*L12*L13-L14*L15*L16*L17*L18*L19*L20*L21*L22),'R2U_Calculations'!L74)*(L35*L46+L36*L47+L37*L48+L38*L49+L39*L50)</f>
        <v>752.19835181949531</v>
      </c>
    </row>
    <row r="100" spans="2:3" x14ac:dyDescent="0.25">
      <c r="B100" t="s">
        <v>319</v>
      </c>
      <c r="C100">
        <f>'R2U_Ref'!C19</f>
        <v>1</v>
      </c>
    </row>
    <row r="101" spans="2:3" x14ac:dyDescent="0.25">
      <c r="B101" t="s">
        <v>337</v>
      </c>
      <c r="C101">
        <f>'R2U_Ref'!C7</f>
        <v>1</v>
      </c>
    </row>
    <row r="102" spans="2:3" x14ac:dyDescent="0.25">
      <c r="B102" t="s">
        <v>338</v>
      </c>
      <c r="C102">
        <f>'R2U_Project'!M14</f>
        <v>2</v>
      </c>
    </row>
    <row r="103" spans="2:3" x14ac:dyDescent="0.25">
      <c r="C103">
        <f>IF($C$102&gt;0,'R2U_Project'!K19,0)</f>
        <v>2.8000000000000001E-2</v>
      </c>
    </row>
    <row r="104" spans="2:3" x14ac:dyDescent="0.25">
      <c r="C104">
        <f>IF($C$102&gt;1,'R2U_Project'!K20,0)</f>
        <v>3.1E-2</v>
      </c>
    </row>
    <row r="105" spans="2:3" x14ac:dyDescent="0.25">
      <c r="C105">
        <f>IF($C$102&gt;2,'R2U_Project'!K21,0)</f>
        <v>0</v>
      </c>
    </row>
    <row r="106" spans="2:3" x14ac:dyDescent="0.25">
      <c r="C106">
        <f>IF($C$102&gt;3,'R2U_Project'!K22,0)</f>
        <v>0</v>
      </c>
    </row>
    <row r="107" spans="2:3" x14ac:dyDescent="0.25">
      <c r="C107">
        <f>IF($C$102&gt;4,'R2U_Project'!K23,0)</f>
        <v>0</v>
      </c>
    </row>
    <row r="108" spans="2:3" x14ac:dyDescent="0.25">
      <c r="C108">
        <f>IF($C$102&gt;5,'R2U_Project'!K24,0)</f>
        <v>0</v>
      </c>
    </row>
    <row r="109" spans="2:3" x14ac:dyDescent="0.25">
      <c r="C109">
        <f>IF($C$102&gt;6,'R2U_Project'!K25,0)</f>
        <v>0</v>
      </c>
    </row>
    <row r="110" spans="2:3" x14ac:dyDescent="0.25">
      <c r="C110">
        <f>IF($C$102&gt;7,'R2U_Project'!K26,0)</f>
        <v>0</v>
      </c>
    </row>
    <row r="111" spans="2:3" x14ac:dyDescent="0.25">
      <c r="C111">
        <f>IF($C$102&gt;8,'R2U_Project'!K27,0)</f>
        <v>0</v>
      </c>
    </row>
    <row r="112" spans="2:3" x14ac:dyDescent="0.25">
      <c r="C112">
        <f>IF($C$102&gt;9,'R2U_Project'!K28,0)</f>
        <v>0</v>
      </c>
    </row>
  </sheetData>
  <mergeCells count="224">
    <mergeCell ref="N59:R59"/>
    <mergeCell ref="N60:O60"/>
    <mergeCell ref="Q60:R60"/>
    <mergeCell ref="N54:R54"/>
    <mergeCell ref="N55:O55"/>
    <mergeCell ref="Q55:R55"/>
    <mergeCell ref="Q49:R49"/>
    <mergeCell ref="B4:B12"/>
    <mergeCell ref="B14:B15"/>
    <mergeCell ref="B34:B37"/>
    <mergeCell ref="F35:G35"/>
    <mergeCell ref="F36:G36"/>
    <mergeCell ref="F37:G37"/>
    <mergeCell ref="R34:R35"/>
    <mergeCell ref="Q39:R39"/>
    <mergeCell ref="J52:J57"/>
    <mergeCell ref="B3:C3"/>
    <mergeCell ref="N3:R3"/>
    <mergeCell ref="Q4:R4"/>
    <mergeCell ref="N11:R11"/>
    <mergeCell ref="Q12:R12"/>
    <mergeCell ref="N21:R21"/>
    <mergeCell ref="J3:K3"/>
    <mergeCell ref="F33:G33"/>
    <mergeCell ref="F34:G34"/>
    <mergeCell ref="B18:B27"/>
    <mergeCell ref="J14:J22"/>
    <mergeCell ref="J7:J13"/>
    <mergeCell ref="J76:K76"/>
    <mergeCell ref="N4:O4"/>
    <mergeCell ref="N12:O12"/>
    <mergeCell ref="N22:O22"/>
    <mergeCell ref="N30:N31"/>
    <mergeCell ref="O30:O31"/>
    <mergeCell ref="N32:N33"/>
    <mergeCell ref="O32:O33"/>
    <mergeCell ref="N34:N35"/>
    <mergeCell ref="O34:O35"/>
    <mergeCell ref="N39:O39"/>
    <mergeCell ref="N49:O49"/>
    <mergeCell ref="J35:J39"/>
    <mergeCell ref="J40:J45"/>
    <mergeCell ref="J46:J50"/>
    <mergeCell ref="J4:J6"/>
    <mergeCell ref="J24:J34"/>
    <mergeCell ref="N43:R43"/>
    <mergeCell ref="N44:O44"/>
    <mergeCell ref="Q44:R44"/>
    <mergeCell ref="N48:R48"/>
    <mergeCell ref="J71:J74"/>
    <mergeCell ref="J58:J63"/>
    <mergeCell ref="J64:J69"/>
    <mergeCell ref="T21:X21"/>
    <mergeCell ref="T22:U22"/>
    <mergeCell ref="W22:X22"/>
    <mergeCell ref="N28:R28"/>
    <mergeCell ref="N29:O29"/>
    <mergeCell ref="Q29:R29"/>
    <mergeCell ref="T28:X28"/>
    <mergeCell ref="T29:U29"/>
    <mergeCell ref="W29:X29"/>
    <mergeCell ref="Q22:R22"/>
    <mergeCell ref="T34:T35"/>
    <mergeCell ref="U34:U35"/>
    <mergeCell ref="W34:W35"/>
    <mergeCell ref="Z30:Z31"/>
    <mergeCell ref="X34:X35"/>
    <mergeCell ref="N38:R38"/>
    <mergeCell ref="T30:T31"/>
    <mergeCell ref="U30:U31"/>
    <mergeCell ref="W30:W31"/>
    <mergeCell ref="X30:X31"/>
    <mergeCell ref="T32:T33"/>
    <mergeCell ref="U32:U33"/>
    <mergeCell ref="W32:W33"/>
    <mergeCell ref="X32:X33"/>
    <mergeCell ref="Q30:Q31"/>
    <mergeCell ref="R30:R31"/>
    <mergeCell ref="Q32:Q33"/>
    <mergeCell ref="R32:R33"/>
    <mergeCell ref="Q34:Q35"/>
    <mergeCell ref="AA30:AA31"/>
    <mergeCell ref="AC30:AC31"/>
    <mergeCell ref="AD30:AD31"/>
    <mergeCell ref="Z32:Z33"/>
    <mergeCell ref="AA32:AA33"/>
    <mergeCell ref="AC32:AC33"/>
    <mergeCell ref="AD32:AD33"/>
    <mergeCell ref="Z21:AD21"/>
    <mergeCell ref="Z22:AA22"/>
    <mergeCell ref="AC22:AD22"/>
    <mergeCell ref="Z28:AD28"/>
    <mergeCell ref="Z29:AA29"/>
    <mergeCell ref="AC29:AD29"/>
    <mergeCell ref="AF21:AJ21"/>
    <mergeCell ref="AF22:AG22"/>
    <mergeCell ref="AI22:AJ22"/>
    <mergeCell ref="AF28:AJ28"/>
    <mergeCell ref="AF29:AG29"/>
    <mergeCell ref="AI29:AJ29"/>
    <mergeCell ref="AF30:AF31"/>
    <mergeCell ref="AG30:AG31"/>
    <mergeCell ref="AI30:AI31"/>
    <mergeCell ref="AJ30:AJ31"/>
    <mergeCell ref="AI32:AI33"/>
    <mergeCell ref="AJ32:AJ33"/>
    <mergeCell ref="AF34:AF35"/>
    <mergeCell ref="AG34:AG35"/>
    <mergeCell ref="AI34:AI35"/>
    <mergeCell ref="AJ34:AJ35"/>
    <mergeCell ref="Z34:Z35"/>
    <mergeCell ref="AA34:AA35"/>
    <mergeCell ref="AC34:AC35"/>
    <mergeCell ref="AD34:AD35"/>
    <mergeCell ref="AF32:AF33"/>
    <mergeCell ref="AG32:AG33"/>
    <mergeCell ref="AL21:AP21"/>
    <mergeCell ref="AL22:AM22"/>
    <mergeCell ref="AO22:AP22"/>
    <mergeCell ref="AL28:AP28"/>
    <mergeCell ref="AL29:AM29"/>
    <mergeCell ref="AO29:AP29"/>
    <mergeCell ref="AL30:AL31"/>
    <mergeCell ref="AM30:AM31"/>
    <mergeCell ref="AO30:AO31"/>
    <mergeCell ref="AP30:AP31"/>
    <mergeCell ref="AL32:AL33"/>
    <mergeCell ref="AM32:AM33"/>
    <mergeCell ref="AO32:AO33"/>
    <mergeCell ref="AP32:AP33"/>
    <mergeCell ref="AL34:AL35"/>
    <mergeCell ref="AM34:AM35"/>
    <mergeCell ref="AO34:AO35"/>
    <mergeCell ref="AP34:AP35"/>
    <mergeCell ref="AR21:AV21"/>
    <mergeCell ref="AR22:AS22"/>
    <mergeCell ref="AU22:AV22"/>
    <mergeCell ref="AR28:AV28"/>
    <mergeCell ref="AR29:AS29"/>
    <mergeCell ref="AU29:AV29"/>
    <mergeCell ref="AR30:AR31"/>
    <mergeCell ref="AS30:AS31"/>
    <mergeCell ref="AU30:AU31"/>
    <mergeCell ref="AV30:AV31"/>
    <mergeCell ref="AR32:AR33"/>
    <mergeCell ref="AS32:AS33"/>
    <mergeCell ref="AU32:AU33"/>
    <mergeCell ref="AV32:AV33"/>
    <mergeCell ref="AR34:AR35"/>
    <mergeCell ref="AS34:AS35"/>
    <mergeCell ref="AU34:AU35"/>
    <mergeCell ref="AV34:AV35"/>
    <mergeCell ref="AX21:BB21"/>
    <mergeCell ref="AX22:AY22"/>
    <mergeCell ref="BA22:BB22"/>
    <mergeCell ref="AX28:BB28"/>
    <mergeCell ref="AX29:AY29"/>
    <mergeCell ref="BA29:BB29"/>
    <mergeCell ref="AX30:AX31"/>
    <mergeCell ref="AY30:AY31"/>
    <mergeCell ref="BA30:BA31"/>
    <mergeCell ref="BB30:BB31"/>
    <mergeCell ref="AX32:AX33"/>
    <mergeCell ref="AY32:AY33"/>
    <mergeCell ref="BA32:BA33"/>
    <mergeCell ref="BB32:BB33"/>
    <mergeCell ref="AX34:AX35"/>
    <mergeCell ref="AY34:AY35"/>
    <mergeCell ref="BA34:BA35"/>
    <mergeCell ref="BB34:BB35"/>
    <mergeCell ref="BD21:BH21"/>
    <mergeCell ref="BD22:BE22"/>
    <mergeCell ref="BG22:BH22"/>
    <mergeCell ref="BD28:BH28"/>
    <mergeCell ref="BD29:BE29"/>
    <mergeCell ref="BG29:BH29"/>
    <mergeCell ref="BD30:BD31"/>
    <mergeCell ref="BE30:BE31"/>
    <mergeCell ref="BG30:BG31"/>
    <mergeCell ref="BH30:BH31"/>
    <mergeCell ref="BD32:BD33"/>
    <mergeCell ref="BE32:BE33"/>
    <mergeCell ref="BG32:BG33"/>
    <mergeCell ref="BH32:BH33"/>
    <mergeCell ref="BD34:BD35"/>
    <mergeCell ref="BE34:BE35"/>
    <mergeCell ref="BG34:BG35"/>
    <mergeCell ref="BH34:BH35"/>
    <mergeCell ref="BJ21:BN21"/>
    <mergeCell ref="BJ22:BK22"/>
    <mergeCell ref="BM22:BN22"/>
    <mergeCell ref="BJ28:BN28"/>
    <mergeCell ref="BJ29:BK29"/>
    <mergeCell ref="BM29:BN29"/>
    <mergeCell ref="BJ30:BJ31"/>
    <mergeCell ref="BK30:BK31"/>
    <mergeCell ref="BM30:BM31"/>
    <mergeCell ref="BN30:BN31"/>
    <mergeCell ref="BJ32:BJ33"/>
    <mergeCell ref="BK32:BK33"/>
    <mergeCell ref="BM32:BM33"/>
    <mergeCell ref="BN32:BN33"/>
    <mergeCell ref="BJ34:BJ35"/>
    <mergeCell ref="BK34:BK35"/>
    <mergeCell ref="BM34:BM35"/>
    <mergeCell ref="BN34:BN35"/>
    <mergeCell ref="BP21:BT21"/>
    <mergeCell ref="BP22:BQ22"/>
    <mergeCell ref="BS22:BT22"/>
    <mergeCell ref="BP28:BT28"/>
    <mergeCell ref="BP29:BQ29"/>
    <mergeCell ref="BS29:BT29"/>
    <mergeCell ref="BP30:BP31"/>
    <mergeCell ref="BQ30:BQ31"/>
    <mergeCell ref="BS30:BS31"/>
    <mergeCell ref="BT30:BT31"/>
    <mergeCell ref="BP32:BP33"/>
    <mergeCell ref="BQ32:BQ33"/>
    <mergeCell ref="BS32:BS33"/>
    <mergeCell ref="BT32:BT33"/>
    <mergeCell ref="BP34:BP35"/>
    <mergeCell ref="BQ34:BQ35"/>
    <mergeCell ref="BS34:BS35"/>
    <mergeCell ref="BT34:BT35"/>
  </mergeCells>
  <conditionalFormatting sqref="T21:BT36">
    <cfRule type="expression" dxfId="694" priority="189">
      <formula>$C$101=1</formula>
    </cfRule>
  </conditionalFormatting>
  <conditionalFormatting sqref="AF21:AJ36">
    <cfRule type="expression" dxfId="693" priority="188">
      <formula>$C$102&lt;4</formula>
    </cfRule>
  </conditionalFormatting>
  <conditionalFormatting sqref="Z21:AD36">
    <cfRule type="expression" dxfId="692" priority="187">
      <formula>$C$102&lt;3</formula>
    </cfRule>
  </conditionalFormatting>
  <conditionalFormatting sqref="T21:X36">
    <cfRule type="expression" dxfId="691" priority="186">
      <formula>$C$102&lt;2</formula>
    </cfRule>
  </conditionalFormatting>
  <conditionalFormatting sqref="AL21:AP36">
    <cfRule type="expression" dxfId="690" priority="173">
      <formula>$C$102&lt;5</formula>
    </cfRule>
  </conditionalFormatting>
  <conditionalFormatting sqref="AR21:AV36">
    <cfRule type="expression" dxfId="689" priority="182">
      <formula>$C$102&lt;6</formula>
    </cfRule>
  </conditionalFormatting>
  <conditionalFormatting sqref="AX21:BB36">
    <cfRule type="expression" dxfId="688" priority="180">
      <formula>$C$102&lt;7</formula>
    </cfRule>
  </conditionalFormatting>
  <conditionalFormatting sqref="BD21:BH36">
    <cfRule type="expression" dxfId="687" priority="178">
      <formula>$C$102&lt;8</formula>
    </cfRule>
  </conditionalFormatting>
  <conditionalFormatting sqref="BJ21:BN36">
    <cfRule type="expression" dxfId="686" priority="176">
      <formula>$C$102&lt;9</formula>
    </cfRule>
  </conditionalFormatting>
  <conditionalFormatting sqref="BP21:BT36">
    <cfRule type="expression" dxfId="685" priority="174">
      <formula>$C$102&lt;10</formula>
    </cfRule>
  </conditionalFormatting>
  <conditionalFormatting sqref="N28:R29 N30:N31 P30:Q31 N32:R36">
    <cfRule type="expression" dxfId="684" priority="171">
      <formula>$C$101=1</formula>
    </cfRule>
  </conditionalFormatting>
  <conditionalFormatting sqref="X24:X25">
    <cfRule type="expression" dxfId="683" priority="170">
      <formula>$C$101=1</formula>
    </cfRule>
  </conditionalFormatting>
  <conditionalFormatting sqref="X24:X25">
    <cfRule type="expression" dxfId="682" priority="169">
      <formula>$C$102&lt;2</formula>
    </cfRule>
  </conditionalFormatting>
  <conditionalFormatting sqref="AA24:AA25">
    <cfRule type="expression" dxfId="681" priority="168">
      <formula>$C$101=1</formula>
    </cfRule>
  </conditionalFormatting>
  <conditionalFormatting sqref="AA24:AA25">
    <cfRule type="expression" dxfId="680" priority="167">
      <formula>$C$102&lt;2</formula>
    </cfRule>
  </conditionalFormatting>
  <conditionalFormatting sqref="AD24:AD25">
    <cfRule type="expression" dxfId="679" priority="166">
      <formula>$C$101=1</formula>
    </cfRule>
  </conditionalFormatting>
  <conditionalFormatting sqref="AD24:AD25">
    <cfRule type="expression" dxfId="678" priority="165">
      <formula>$C$102&lt;2</formula>
    </cfRule>
  </conditionalFormatting>
  <conditionalFormatting sqref="AG24:AG25">
    <cfRule type="expression" dxfId="677" priority="164">
      <formula>$C$101=1</formula>
    </cfRule>
  </conditionalFormatting>
  <conditionalFormatting sqref="AG24:AG25">
    <cfRule type="expression" dxfId="676" priority="163">
      <formula>$C$102&lt;2</formula>
    </cfRule>
  </conditionalFormatting>
  <conditionalFormatting sqref="AJ24:AJ25">
    <cfRule type="expression" dxfId="675" priority="162">
      <formula>$C$101=1</formula>
    </cfRule>
  </conditionalFormatting>
  <conditionalFormatting sqref="AJ24:AJ25">
    <cfRule type="expression" dxfId="674" priority="161">
      <formula>$C$102&lt;2</formula>
    </cfRule>
  </conditionalFormatting>
  <conditionalFormatting sqref="AM24:AM25">
    <cfRule type="expression" dxfId="673" priority="160">
      <formula>$C$101=1</formula>
    </cfRule>
  </conditionalFormatting>
  <conditionalFormatting sqref="AM24:AM25">
    <cfRule type="expression" dxfId="672" priority="159">
      <formula>$C$102&lt;2</formula>
    </cfRule>
  </conditionalFormatting>
  <conditionalFormatting sqref="AP24:AP25">
    <cfRule type="expression" dxfId="671" priority="158">
      <formula>$C$101=1</formula>
    </cfRule>
  </conditionalFormatting>
  <conditionalFormatting sqref="AP24:AP25">
    <cfRule type="expression" dxfId="670" priority="157">
      <formula>$C$102&lt;2</formula>
    </cfRule>
  </conditionalFormatting>
  <conditionalFormatting sqref="AS24:AS25">
    <cfRule type="expression" dxfId="669" priority="156">
      <formula>$C$101=1</formula>
    </cfRule>
  </conditionalFormatting>
  <conditionalFormatting sqref="AS24:AS25">
    <cfRule type="expression" dxfId="668" priority="155">
      <formula>$C$102&lt;2</formula>
    </cfRule>
  </conditionalFormatting>
  <conditionalFormatting sqref="AV24:AV25">
    <cfRule type="expression" dxfId="667" priority="154">
      <formula>$C$101=1</formula>
    </cfRule>
  </conditionalFormatting>
  <conditionalFormatting sqref="AV24:AV25">
    <cfRule type="expression" dxfId="666" priority="153">
      <formula>$C$102&lt;2</formula>
    </cfRule>
  </conditionalFormatting>
  <conditionalFormatting sqref="AY24:AY25">
    <cfRule type="expression" dxfId="665" priority="152">
      <formula>$C$101=1</formula>
    </cfRule>
  </conditionalFormatting>
  <conditionalFormatting sqref="AY24:AY25">
    <cfRule type="expression" dxfId="664" priority="151">
      <formula>$C$102&lt;2</formula>
    </cfRule>
  </conditionalFormatting>
  <conditionalFormatting sqref="BB24:BB25">
    <cfRule type="expression" dxfId="663" priority="150">
      <formula>$C$101=1</formula>
    </cfRule>
  </conditionalFormatting>
  <conditionalFormatting sqref="BB24:BB25">
    <cfRule type="expression" dxfId="662" priority="149">
      <formula>$C$102&lt;2</formula>
    </cfRule>
  </conditionalFormatting>
  <conditionalFormatting sqref="BE24:BE25">
    <cfRule type="expression" dxfId="661" priority="148">
      <formula>$C$101=1</formula>
    </cfRule>
  </conditionalFormatting>
  <conditionalFormatting sqref="BE24:BE25">
    <cfRule type="expression" dxfId="660" priority="147">
      <formula>$C$102&lt;2</formula>
    </cfRule>
  </conditionalFormatting>
  <conditionalFormatting sqref="BH24:BH25">
    <cfRule type="expression" dxfId="659" priority="146">
      <formula>$C$101=1</formula>
    </cfRule>
  </conditionalFormatting>
  <conditionalFormatting sqref="BH24:BH25">
    <cfRule type="expression" dxfId="658" priority="145">
      <formula>$C$102&lt;2</formula>
    </cfRule>
  </conditionalFormatting>
  <conditionalFormatting sqref="BK24:BK25">
    <cfRule type="expression" dxfId="657" priority="144">
      <formula>$C$101=1</formula>
    </cfRule>
  </conditionalFormatting>
  <conditionalFormatting sqref="BK24:BK25">
    <cfRule type="expression" dxfId="656" priority="143">
      <formula>$C$102&lt;2</formula>
    </cfRule>
  </conditionalFormatting>
  <conditionalFormatting sqref="BN24:BN25">
    <cfRule type="expression" dxfId="655" priority="142">
      <formula>$C$101=1</formula>
    </cfRule>
  </conditionalFormatting>
  <conditionalFormatting sqref="BN24:BN25">
    <cfRule type="expression" dxfId="654" priority="141">
      <formula>$C$102&lt;2</formula>
    </cfRule>
  </conditionalFormatting>
  <conditionalFormatting sqref="BQ24:BQ25">
    <cfRule type="expression" dxfId="653" priority="140">
      <formula>$C$101=1</formula>
    </cfRule>
  </conditionalFormatting>
  <conditionalFormatting sqref="BQ24:BQ25">
    <cfRule type="expression" dxfId="652" priority="139">
      <formula>$C$102&lt;2</formula>
    </cfRule>
  </conditionalFormatting>
  <conditionalFormatting sqref="BT24:BT25">
    <cfRule type="expression" dxfId="651" priority="136">
      <formula>$C$101=1</formula>
    </cfRule>
  </conditionalFormatting>
  <conditionalFormatting sqref="BT24:BT25">
    <cfRule type="expression" dxfId="650" priority="135">
      <formula>$C$102&lt;2</formula>
    </cfRule>
  </conditionalFormatting>
  <conditionalFormatting sqref="X23">
    <cfRule type="expression" dxfId="649" priority="134">
      <formula>$C$101=1</formula>
    </cfRule>
  </conditionalFormatting>
  <conditionalFormatting sqref="X23">
    <cfRule type="expression" dxfId="648" priority="133">
      <formula>$C$102&lt;2</formula>
    </cfRule>
  </conditionalFormatting>
  <conditionalFormatting sqref="AA23">
    <cfRule type="expression" dxfId="647" priority="132">
      <formula>$C$101=1</formula>
    </cfRule>
  </conditionalFormatting>
  <conditionalFormatting sqref="AA23">
    <cfRule type="expression" dxfId="646" priority="131">
      <formula>$C$102&lt;2</formula>
    </cfRule>
  </conditionalFormatting>
  <conditionalFormatting sqref="AD23">
    <cfRule type="expression" dxfId="645" priority="130">
      <formula>$C$101=1</formula>
    </cfRule>
  </conditionalFormatting>
  <conditionalFormatting sqref="AD23">
    <cfRule type="expression" dxfId="644" priority="129">
      <formula>$C$102&lt;2</formula>
    </cfRule>
  </conditionalFormatting>
  <conditionalFormatting sqref="AG23">
    <cfRule type="expression" dxfId="643" priority="128">
      <formula>$C$101=1</formula>
    </cfRule>
  </conditionalFormatting>
  <conditionalFormatting sqref="AG23">
    <cfRule type="expression" dxfId="642" priority="127">
      <formula>$C$102&lt;2</formula>
    </cfRule>
  </conditionalFormatting>
  <conditionalFormatting sqref="AJ23">
    <cfRule type="expression" dxfId="641" priority="126">
      <formula>$C$101=1</formula>
    </cfRule>
  </conditionalFormatting>
  <conditionalFormatting sqref="AJ23">
    <cfRule type="expression" dxfId="640" priority="125">
      <formula>$C$102&lt;2</formula>
    </cfRule>
  </conditionalFormatting>
  <conditionalFormatting sqref="AM23">
    <cfRule type="expression" dxfId="639" priority="124">
      <formula>$C$101=1</formula>
    </cfRule>
  </conditionalFormatting>
  <conditionalFormatting sqref="AM23">
    <cfRule type="expression" dxfId="638" priority="123">
      <formula>$C$102&lt;2</formula>
    </cfRule>
  </conditionalFormatting>
  <conditionalFormatting sqref="AP23">
    <cfRule type="expression" dxfId="637" priority="122">
      <formula>$C$101=1</formula>
    </cfRule>
  </conditionalFormatting>
  <conditionalFormatting sqref="AP23">
    <cfRule type="expression" dxfId="636" priority="121">
      <formula>$C$102&lt;2</formula>
    </cfRule>
  </conditionalFormatting>
  <conditionalFormatting sqref="AS23">
    <cfRule type="expression" dxfId="635" priority="120">
      <formula>$C$101=1</formula>
    </cfRule>
  </conditionalFormatting>
  <conditionalFormatting sqref="AS23">
    <cfRule type="expression" dxfId="634" priority="119">
      <formula>$C$102&lt;2</formula>
    </cfRule>
  </conditionalFormatting>
  <conditionalFormatting sqref="AV23">
    <cfRule type="expression" dxfId="633" priority="118">
      <formula>$C$101=1</formula>
    </cfRule>
  </conditionalFormatting>
  <conditionalFormatting sqref="AV23">
    <cfRule type="expression" dxfId="632" priority="117">
      <formula>$C$102&lt;2</formula>
    </cfRule>
  </conditionalFormatting>
  <conditionalFormatting sqref="AY23">
    <cfRule type="expression" dxfId="631" priority="116">
      <formula>$C$101=1</formula>
    </cfRule>
  </conditionalFormatting>
  <conditionalFormatting sqref="AY23">
    <cfRule type="expression" dxfId="630" priority="115">
      <formula>$C$102&lt;2</formula>
    </cfRule>
  </conditionalFormatting>
  <conditionalFormatting sqref="BB23">
    <cfRule type="expression" dxfId="629" priority="114">
      <formula>$C$101=1</formula>
    </cfRule>
  </conditionalFormatting>
  <conditionalFormatting sqref="BB23">
    <cfRule type="expression" dxfId="628" priority="113">
      <formula>$C$102&lt;2</formula>
    </cfRule>
  </conditionalFormatting>
  <conditionalFormatting sqref="BE23">
    <cfRule type="expression" dxfId="627" priority="112">
      <formula>$C$101=1</formula>
    </cfRule>
  </conditionalFormatting>
  <conditionalFormatting sqref="BE23">
    <cfRule type="expression" dxfId="626" priority="111">
      <formula>$C$102&lt;2</formula>
    </cfRule>
  </conditionalFormatting>
  <conditionalFormatting sqref="BH23">
    <cfRule type="expression" dxfId="625" priority="110">
      <formula>$C$101=1</formula>
    </cfRule>
  </conditionalFormatting>
  <conditionalFormatting sqref="BH23">
    <cfRule type="expression" dxfId="624" priority="109">
      <formula>$C$102&lt;2</formula>
    </cfRule>
  </conditionalFormatting>
  <conditionalFormatting sqref="BK23">
    <cfRule type="expression" dxfId="623" priority="108">
      <formula>$C$101=1</formula>
    </cfRule>
  </conditionalFormatting>
  <conditionalFormatting sqref="BK23">
    <cfRule type="expression" dxfId="622" priority="107">
      <formula>$C$102&lt;2</formula>
    </cfRule>
  </conditionalFormatting>
  <conditionalFormatting sqref="BN23">
    <cfRule type="expression" dxfId="621" priority="106">
      <formula>$C$101=1</formula>
    </cfRule>
  </conditionalFormatting>
  <conditionalFormatting sqref="BN23">
    <cfRule type="expression" dxfId="620" priority="105">
      <formula>$C$102&lt;2</formula>
    </cfRule>
  </conditionalFormatting>
  <conditionalFormatting sqref="BQ23">
    <cfRule type="expression" dxfId="619" priority="104">
      <formula>$C$101=1</formula>
    </cfRule>
  </conditionalFormatting>
  <conditionalFormatting sqref="BQ23">
    <cfRule type="expression" dxfId="618" priority="103">
      <formula>$C$102&lt;2</formula>
    </cfRule>
  </conditionalFormatting>
  <conditionalFormatting sqref="BT23">
    <cfRule type="expression" dxfId="617" priority="100">
      <formula>$C$101=1</formula>
    </cfRule>
  </conditionalFormatting>
  <conditionalFormatting sqref="BT23">
    <cfRule type="expression" dxfId="616" priority="99">
      <formula>$C$102&lt;2</formula>
    </cfRule>
  </conditionalFormatting>
  <conditionalFormatting sqref="U30:U31">
    <cfRule type="expression" dxfId="615" priority="98">
      <formula>$C$101=1</formula>
    </cfRule>
  </conditionalFormatting>
  <conditionalFormatting sqref="U34:U36">
    <cfRule type="expression" dxfId="614" priority="97">
      <formula>$C$101=1</formula>
    </cfRule>
  </conditionalFormatting>
  <conditionalFormatting sqref="X32:X33">
    <cfRule type="expression" dxfId="613" priority="96">
      <formula>$C$101=1</formula>
    </cfRule>
  </conditionalFormatting>
  <conditionalFormatting sqref="X32:X33">
    <cfRule type="expression" dxfId="612" priority="95">
      <formula>$C$102&lt;2</formula>
    </cfRule>
  </conditionalFormatting>
  <conditionalFormatting sqref="X34:X36">
    <cfRule type="expression" dxfId="611" priority="93">
      <formula>$C$101=1</formula>
    </cfRule>
  </conditionalFormatting>
  <conditionalFormatting sqref="AA32:AA33">
    <cfRule type="expression" dxfId="610" priority="92">
      <formula>$C$101=1</formula>
    </cfRule>
  </conditionalFormatting>
  <conditionalFormatting sqref="AA32:AA33">
    <cfRule type="expression" dxfId="609" priority="91">
      <formula>$C$102&lt;2</formula>
    </cfRule>
  </conditionalFormatting>
  <conditionalFormatting sqref="AA30:AA31">
    <cfRule type="expression" dxfId="608" priority="90">
      <formula>$C$101=1</formula>
    </cfRule>
  </conditionalFormatting>
  <conditionalFormatting sqref="AA34:AA36">
    <cfRule type="expression" dxfId="607" priority="89">
      <formula>$C$101=1</formula>
    </cfRule>
  </conditionalFormatting>
  <conditionalFormatting sqref="AD32:AD33">
    <cfRule type="expression" dxfId="606" priority="88">
      <formula>$C$101=1</formula>
    </cfRule>
  </conditionalFormatting>
  <conditionalFormatting sqref="AD32:AD33">
    <cfRule type="expression" dxfId="605" priority="87">
      <formula>$C$102&lt;2</formula>
    </cfRule>
  </conditionalFormatting>
  <conditionalFormatting sqref="AD34:AD36">
    <cfRule type="expression" dxfId="604" priority="85">
      <formula>$C$101=1</formula>
    </cfRule>
  </conditionalFormatting>
  <conditionalFormatting sqref="AG32:AG33">
    <cfRule type="expression" dxfId="603" priority="84">
      <formula>$C$101=1</formula>
    </cfRule>
  </conditionalFormatting>
  <conditionalFormatting sqref="AG32:AG33">
    <cfRule type="expression" dxfId="602" priority="83">
      <formula>$C$102&lt;2</formula>
    </cfRule>
  </conditionalFormatting>
  <conditionalFormatting sqref="AG34:AG36">
    <cfRule type="expression" dxfId="601" priority="81">
      <formula>$C$101=1</formula>
    </cfRule>
  </conditionalFormatting>
  <conditionalFormatting sqref="AJ32:AJ33">
    <cfRule type="expression" dxfId="600" priority="80">
      <formula>$C$101=1</formula>
    </cfRule>
  </conditionalFormatting>
  <conditionalFormatting sqref="AJ32:AJ33">
    <cfRule type="expression" dxfId="599" priority="79">
      <formula>$C$102&lt;2</formula>
    </cfRule>
  </conditionalFormatting>
  <conditionalFormatting sqref="AJ34:AJ36">
    <cfRule type="expression" dxfId="598" priority="77">
      <formula>$C$101=1</formula>
    </cfRule>
  </conditionalFormatting>
  <conditionalFormatting sqref="AM32:AM33">
    <cfRule type="expression" dxfId="597" priority="76">
      <formula>$C$101=1</formula>
    </cfRule>
  </conditionalFormatting>
  <conditionalFormatting sqref="AM32:AM33">
    <cfRule type="expression" dxfId="596" priority="75">
      <formula>$C$102&lt;2</formula>
    </cfRule>
  </conditionalFormatting>
  <conditionalFormatting sqref="AM34:AM36">
    <cfRule type="expression" dxfId="595" priority="73">
      <formula>$C$101=1</formula>
    </cfRule>
  </conditionalFormatting>
  <conditionalFormatting sqref="AP32:AP33">
    <cfRule type="expression" dxfId="594" priority="72">
      <formula>$C$101=1</formula>
    </cfRule>
  </conditionalFormatting>
  <conditionalFormatting sqref="AP32:AP33">
    <cfRule type="expression" dxfId="593" priority="71">
      <formula>$C$102&lt;2</formula>
    </cfRule>
  </conditionalFormatting>
  <conditionalFormatting sqref="AP34:AP36">
    <cfRule type="expression" dxfId="592" priority="69">
      <formula>$C$101=1</formula>
    </cfRule>
  </conditionalFormatting>
  <conditionalFormatting sqref="AS32:AS33">
    <cfRule type="expression" dxfId="591" priority="68">
      <formula>$C$101=1</formula>
    </cfRule>
  </conditionalFormatting>
  <conditionalFormatting sqref="AS32:AS33">
    <cfRule type="expression" dxfId="590" priority="67">
      <formula>$C$102&lt;2</formula>
    </cfRule>
  </conditionalFormatting>
  <conditionalFormatting sqref="AS34:AS36">
    <cfRule type="expression" dxfId="589" priority="65">
      <formula>$C$101=1</formula>
    </cfRule>
  </conditionalFormatting>
  <conditionalFormatting sqref="AV32:AV33">
    <cfRule type="expression" dxfId="588" priority="64">
      <formula>$C$101=1</formula>
    </cfRule>
  </conditionalFormatting>
  <conditionalFormatting sqref="AV32:AV33">
    <cfRule type="expression" dxfId="587" priority="63">
      <formula>$C$102&lt;2</formula>
    </cfRule>
  </conditionalFormatting>
  <conditionalFormatting sqref="AV34:AV36">
    <cfRule type="expression" dxfId="586" priority="61">
      <formula>$C$101=1</formula>
    </cfRule>
  </conditionalFormatting>
  <conditionalFormatting sqref="AY32:AY33">
    <cfRule type="expression" dxfId="585" priority="60">
      <formula>$C$101=1</formula>
    </cfRule>
  </conditionalFormatting>
  <conditionalFormatting sqref="AY32:AY33">
    <cfRule type="expression" dxfId="584" priority="59">
      <formula>$C$102&lt;2</formula>
    </cfRule>
  </conditionalFormatting>
  <conditionalFormatting sqref="AY34:AY36">
    <cfRule type="expression" dxfId="583" priority="57">
      <formula>$C$101=1</formula>
    </cfRule>
  </conditionalFormatting>
  <conditionalFormatting sqref="BB32:BB33">
    <cfRule type="expression" dxfId="582" priority="56">
      <formula>$C$101=1</formula>
    </cfRule>
  </conditionalFormatting>
  <conditionalFormatting sqref="BB32:BB33">
    <cfRule type="expression" dxfId="581" priority="55">
      <formula>$C$102&lt;2</formula>
    </cfRule>
  </conditionalFormatting>
  <conditionalFormatting sqref="BB34:BB36">
    <cfRule type="expression" dxfId="580" priority="53">
      <formula>$C$101=1</formula>
    </cfRule>
  </conditionalFormatting>
  <conditionalFormatting sqref="BE32:BE33">
    <cfRule type="expression" dxfId="579" priority="52">
      <formula>$C$101=1</formula>
    </cfRule>
  </conditionalFormatting>
  <conditionalFormatting sqref="BE32:BE33">
    <cfRule type="expression" dxfId="578" priority="51">
      <formula>$C$102&lt;2</formula>
    </cfRule>
  </conditionalFormatting>
  <conditionalFormatting sqref="BE34:BE36">
    <cfRule type="expression" dxfId="577" priority="49">
      <formula>$C$101=1</formula>
    </cfRule>
  </conditionalFormatting>
  <conditionalFormatting sqref="BH32:BH33">
    <cfRule type="expression" dxfId="576" priority="48">
      <formula>$C$101=1</formula>
    </cfRule>
  </conditionalFormatting>
  <conditionalFormatting sqref="BH32:BH33">
    <cfRule type="expression" dxfId="575" priority="47">
      <formula>$C$102&lt;2</formula>
    </cfRule>
  </conditionalFormatting>
  <conditionalFormatting sqref="BH34:BH36">
    <cfRule type="expression" dxfId="574" priority="45">
      <formula>$C$101=1</formula>
    </cfRule>
  </conditionalFormatting>
  <conditionalFormatting sqref="BK32:BK33">
    <cfRule type="expression" dxfId="573" priority="44">
      <formula>$C$101=1</formula>
    </cfRule>
  </conditionalFormatting>
  <conditionalFormatting sqref="BK32:BK33">
    <cfRule type="expression" dxfId="572" priority="43">
      <formula>$C$102&lt;2</formula>
    </cfRule>
  </conditionalFormatting>
  <conditionalFormatting sqref="BK34:BK36">
    <cfRule type="expression" dxfId="571" priority="41">
      <formula>$C$101=1</formula>
    </cfRule>
  </conditionalFormatting>
  <conditionalFormatting sqref="BN32:BN33">
    <cfRule type="expression" dxfId="570" priority="40">
      <formula>$C$101=1</formula>
    </cfRule>
  </conditionalFormatting>
  <conditionalFormatting sqref="BN32:BN33">
    <cfRule type="expression" dxfId="569" priority="39">
      <formula>$C$102&lt;2</formula>
    </cfRule>
  </conditionalFormatting>
  <conditionalFormatting sqref="BN34:BN36">
    <cfRule type="expression" dxfId="568" priority="37">
      <formula>$C$101=1</formula>
    </cfRule>
  </conditionalFormatting>
  <conditionalFormatting sqref="BQ32:BQ33">
    <cfRule type="expression" dxfId="567" priority="36">
      <formula>$C$101=1</formula>
    </cfRule>
  </conditionalFormatting>
  <conditionalFormatting sqref="BQ32:BQ33">
    <cfRule type="expression" dxfId="566" priority="35">
      <formula>$C$102&lt;2</formula>
    </cfRule>
  </conditionalFormatting>
  <conditionalFormatting sqref="BQ34:BQ36">
    <cfRule type="expression" dxfId="565" priority="33">
      <formula>$C$101=1</formula>
    </cfRule>
  </conditionalFormatting>
  <conditionalFormatting sqref="BT32:BT33">
    <cfRule type="expression" dxfId="564" priority="32">
      <formula>$C$101=1</formula>
    </cfRule>
  </conditionalFormatting>
  <conditionalFormatting sqref="BT32:BT33">
    <cfRule type="expression" dxfId="563" priority="31">
      <formula>$C$102&lt;2</formula>
    </cfRule>
  </conditionalFormatting>
  <conditionalFormatting sqref="BT34:BT36">
    <cfRule type="expression" dxfId="562" priority="29">
      <formula>$C$101=1</formula>
    </cfRule>
  </conditionalFormatting>
  <conditionalFormatting sqref="O30:O31">
    <cfRule type="expression" dxfId="561" priority="28">
      <formula>$C$101=1</formula>
    </cfRule>
  </conditionalFormatting>
  <conditionalFormatting sqref="R30:R31">
    <cfRule type="expression" dxfId="560" priority="27">
      <formula>$C$101=1</formula>
    </cfRule>
  </conditionalFormatting>
  <conditionalFormatting sqref="X30:X31">
    <cfRule type="expression" dxfId="559" priority="26">
      <formula>$C$101=1</formula>
    </cfRule>
  </conditionalFormatting>
  <conditionalFormatting sqref="AD30:AD31">
    <cfRule type="expression" dxfId="558" priority="25">
      <formula>$C$101=1</formula>
    </cfRule>
  </conditionalFormatting>
  <conditionalFormatting sqref="AG30:AG31">
    <cfRule type="expression" dxfId="557" priority="24">
      <formula>$C$101=1</formula>
    </cfRule>
  </conditionalFormatting>
  <conditionalFormatting sqref="AJ30:AJ31">
    <cfRule type="expression" dxfId="556" priority="23">
      <formula>$C$101=1</formula>
    </cfRule>
  </conditionalFormatting>
  <conditionalFormatting sqref="AM30:AM31">
    <cfRule type="expression" dxfId="555" priority="22">
      <formula>$C$101=1</formula>
    </cfRule>
  </conditionalFormatting>
  <conditionalFormatting sqref="AP30:AP31">
    <cfRule type="expression" dxfId="554" priority="21">
      <formula>$C$101=1</formula>
    </cfRule>
  </conditionalFormatting>
  <conditionalFormatting sqref="AS30:AS31">
    <cfRule type="expression" dxfId="553" priority="20">
      <formula>$C$101=1</formula>
    </cfRule>
  </conditionalFormatting>
  <conditionalFormatting sqref="AV30:AV31">
    <cfRule type="expression" dxfId="552" priority="19">
      <formula>$C$101=1</formula>
    </cfRule>
  </conditionalFormatting>
  <conditionalFormatting sqref="AY30:AY31">
    <cfRule type="expression" dxfId="551" priority="18">
      <formula>$C$101=1</formula>
    </cfRule>
  </conditionalFormatting>
  <conditionalFormatting sqref="BB30:BB31">
    <cfRule type="expression" dxfId="550" priority="17">
      <formula>$C$101=1</formula>
    </cfRule>
  </conditionalFormatting>
  <conditionalFormatting sqref="BE30:BE31">
    <cfRule type="expression" dxfId="549" priority="16">
      <formula>$C$101=1</formula>
    </cfRule>
  </conditionalFormatting>
  <conditionalFormatting sqref="BH30:BH31">
    <cfRule type="expression" dxfId="548" priority="15">
      <formula>$C$101=1</formula>
    </cfRule>
  </conditionalFormatting>
  <conditionalFormatting sqref="BK30:BK31">
    <cfRule type="expression" dxfId="547" priority="14">
      <formula>$C$101=1</formula>
    </cfRule>
  </conditionalFormatting>
  <conditionalFormatting sqref="BN30:BN31">
    <cfRule type="expression" dxfId="546" priority="13">
      <formula>$C$101=1</formula>
    </cfRule>
  </conditionalFormatting>
  <conditionalFormatting sqref="BQ30:BQ31">
    <cfRule type="expression" dxfId="545" priority="12">
      <formula>$C$101=1</formula>
    </cfRule>
  </conditionalFormatting>
  <conditionalFormatting sqref="BT30:BT31">
    <cfRule type="expression" dxfId="544" priority="11">
      <formula>$C$101=1</formula>
    </cfRule>
  </conditionalFormatting>
  <conditionalFormatting sqref="J71:L74">
    <cfRule type="expression" dxfId="543" priority="10">
      <formula>$C$100=2</formula>
    </cfRule>
  </conditionalFormatting>
  <conditionalFormatting sqref="X36">
    <cfRule type="expression" dxfId="542" priority="9">
      <formula>$C$101=1</formula>
    </cfRule>
  </conditionalFormatting>
  <conditionalFormatting sqref="AD36">
    <cfRule type="expression" dxfId="541" priority="8">
      <formula>$C$101=1</formula>
    </cfRule>
  </conditionalFormatting>
  <conditionalFormatting sqref="AJ36">
    <cfRule type="expression" dxfId="540" priority="7">
      <formula>$C$101=1</formula>
    </cfRule>
  </conditionalFormatting>
  <conditionalFormatting sqref="AP36">
    <cfRule type="expression" dxfId="539" priority="6">
      <formula>$C$101=1</formula>
    </cfRule>
  </conditionalFormatting>
  <conditionalFormatting sqref="AV36">
    <cfRule type="expression" dxfId="538" priority="5">
      <formula>$C$101=1</formula>
    </cfRule>
  </conditionalFormatting>
  <conditionalFormatting sqref="BB36">
    <cfRule type="expression" dxfId="537" priority="4">
      <formula>$C$101=1</formula>
    </cfRule>
  </conditionalFormatting>
  <conditionalFormatting sqref="BH36">
    <cfRule type="expression" dxfId="536" priority="3">
      <formula>$C$101=1</formula>
    </cfRule>
  </conditionalFormatting>
  <conditionalFormatting sqref="BN36">
    <cfRule type="expression" dxfId="535" priority="2">
      <formula>$C$101=1</formula>
    </cfRule>
  </conditionalFormatting>
  <conditionalFormatting sqref="BT36">
    <cfRule type="expression" dxfId="534" priority="1">
      <formula>$C$101=1</formula>
    </cfRule>
  </conditionalFormatting>
  <pageMargins left="0.7" right="0.7" top="0.75" bottom="0.75" header="0.3" footer="0.3"/>
  <pageSetup scale="1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2:P186"/>
  <sheetViews>
    <sheetView workbookViewId="0">
      <selection activeCell="B162" sqref="B162"/>
    </sheetView>
  </sheetViews>
  <sheetFormatPr defaultRowHeight="15" x14ac:dyDescent="0.25"/>
  <cols>
    <col min="1" max="1" width="12.28515625" customWidth="1"/>
    <col min="2" max="2" width="26.5703125" customWidth="1"/>
    <col min="3" max="3" width="14.5703125" customWidth="1"/>
    <col min="4" max="4" width="16.140625" customWidth="1"/>
    <col min="6" max="6" width="22.7109375" customWidth="1"/>
    <col min="7" max="7" width="10.7109375" customWidth="1"/>
    <col min="9" max="9" width="28.5703125" customWidth="1"/>
    <col min="10" max="10" width="11.42578125" customWidth="1"/>
    <col min="11" max="11" width="11.140625" customWidth="1"/>
    <col min="12" max="12" width="11.85546875" customWidth="1"/>
    <col min="14" max="14" width="15.28515625" customWidth="1"/>
  </cols>
  <sheetData>
    <row r="2" spans="2:16" x14ac:dyDescent="0.25">
      <c r="B2" s="531"/>
      <c r="C2" t="s">
        <v>739</v>
      </c>
    </row>
    <row r="3" spans="2:16" x14ac:dyDescent="0.25">
      <c r="B3" s="535"/>
      <c r="C3" t="s">
        <v>738</v>
      </c>
    </row>
    <row r="4" spans="2:16" x14ac:dyDescent="0.25">
      <c r="B4" s="533"/>
      <c r="C4" t="s">
        <v>740</v>
      </c>
    </row>
    <row r="6" spans="2:16" x14ac:dyDescent="0.25">
      <c r="J6" s="1" t="s">
        <v>166</v>
      </c>
      <c r="K6" t="s">
        <v>77</v>
      </c>
      <c r="L6" s="1" t="s">
        <v>78</v>
      </c>
      <c r="N6" s="1" t="s">
        <v>313</v>
      </c>
    </row>
    <row r="7" spans="2:16" x14ac:dyDescent="0.25">
      <c r="B7" s="1" t="s">
        <v>155</v>
      </c>
      <c r="C7" s="531">
        <v>1</v>
      </c>
      <c r="F7" s="1" t="s">
        <v>68</v>
      </c>
      <c r="G7" s="531" t="b">
        <f>IF(AND('R2U_Project'!O19="Yes",'R2U_Project'!$M$14&gt;0),TRUE,FALSE)</f>
        <v>1</v>
      </c>
      <c r="I7" s="1" t="s">
        <v>59</v>
      </c>
      <c r="J7" s="544" t="b">
        <v>0</v>
      </c>
      <c r="L7" s="543" t="str">
        <f>VLOOKUP(D87,A80:D86,4)</f>
        <v/>
      </c>
      <c r="N7" s="543">
        <f>IF('R2U_Ref'!J7=TRUE,'R2U_Project'!F29,'R2U_Ref'!E87)</f>
        <v>12</v>
      </c>
    </row>
    <row r="8" spans="2:16" x14ac:dyDescent="0.25">
      <c r="B8" s="706" t="s">
        <v>156</v>
      </c>
      <c r="C8" s="533" t="s">
        <v>3</v>
      </c>
      <c r="F8" s="1" t="s">
        <v>69</v>
      </c>
      <c r="G8" s="531" t="b">
        <f>IF(AND('R2U_Project'!O20="Yes",'R2U_Project'!$M$14&gt;1),TRUE,FALSE)</f>
        <v>1</v>
      </c>
      <c r="I8" s="1" t="s">
        <v>107</v>
      </c>
      <c r="J8" s="544" t="b">
        <v>0</v>
      </c>
      <c r="L8" s="535" t="str">
        <f>VLOOKUP(D97,A88:D96,4)</f>
        <v/>
      </c>
      <c r="N8" s="535">
        <f>IF(J8=TRUE,'R2U_Project'!F30,'R2U_Ref'!E97)</f>
        <v>4</v>
      </c>
      <c r="O8" t="s">
        <v>391</v>
      </c>
    </row>
    <row r="9" spans="2:16" x14ac:dyDescent="0.25">
      <c r="B9" s="706"/>
      <c r="C9" s="533" t="s">
        <v>4</v>
      </c>
      <c r="F9" s="1" t="s">
        <v>80</v>
      </c>
      <c r="G9" s="531" t="b">
        <f>IF(AND('R2U_Project'!O21="Yes",'R2U_Project'!$M$14&gt;2),TRUE,FALSE)</f>
        <v>0</v>
      </c>
      <c r="I9" s="1" t="s">
        <v>386</v>
      </c>
      <c r="J9" s="544" t="b">
        <v>0</v>
      </c>
      <c r="L9" s="535" t="str">
        <f>IF(D103=1,D98,IF(D103=2,D99,IF(D103=3,D100,IF(D103=4,D101,IF(D103=5,D102,"")))))</f>
        <v/>
      </c>
      <c r="N9" s="535">
        <f>IF(J9=TRUE,'R2U_Project'!F31,'R2U_Ref'!E103)</f>
        <v>0</v>
      </c>
      <c r="O9" t="s">
        <v>392</v>
      </c>
    </row>
    <row r="10" spans="2:16" x14ac:dyDescent="0.25">
      <c r="B10" s="706"/>
      <c r="C10" s="533" t="s">
        <v>5</v>
      </c>
      <c r="F10" s="1" t="s">
        <v>161</v>
      </c>
      <c r="G10" s="531" t="b">
        <f>IF(AND('R2U_Project'!O22="Yes",'R2U_Project'!$M$14&gt;3),TRUE,FALSE)</f>
        <v>0</v>
      </c>
      <c r="I10" s="1" t="s">
        <v>58</v>
      </c>
      <c r="J10" s="544" t="b">
        <v>1</v>
      </c>
      <c r="L10" s="535" t="str">
        <f>IF(D108=1,D104,IF(D108=2,D105,IF(D108=3,D106,IF(D108=4,D107,""))))</f>
        <v>1V:3H</v>
      </c>
      <c r="N10" s="535" t="str">
        <f>IF(J10=TRUE,'R2U_Project'!F32,'R2U_Ref'!E108)</f>
        <v>1V:3H</v>
      </c>
    </row>
    <row r="11" spans="2:16" x14ac:dyDescent="0.25">
      <c r="B11" s="1" t="s">
        <v>157</v>
      </c>
      <c r="C11" s="531">
        <v>2</v>
      </c>
      <c r="D11" s="535">
        <f>IF(C11=1,'R2U_Setup'!F5,IF('R2U_Ref'!C11=2,'R2U_Setup'!F6,'R2U_Setup'!F7))</f>
        <v>3</v>
      </c>
      <c r="F11" s="1" t="s">
        <v>238</v>
      </c>
      <c r="G11" s="531" t="b">
        <f>IF(AND('R2U_Project'!O23="Yes",'R2U_Project'!$M$14&gt;4),TRUE,FALSE)</f>
        <v>0</v>
      </c>
      <c r="I11" s="1" t="s">
        <v>73</v>
      </c>
      <c r="J11" s="544" t="b">
        <v>0</v>
      </c>
      <c r="N11" s="535">
        <f>IF(C111=1,1,IF(J11=TRUE,1,0))</f>
        <v>0</v>
      </c>
      <c r="O11" t="s">
        <v>170</v>
      </c>
      <c r="P11" t="s">
        <v>172</v>
      </c>
    </row>
    <row r="12" spans="2:16" x14ac:dyDescent="0.25">
      <c r="B12" s="706" t="s">
        <v>61</v>
      </c>
      <c r="C12" s="533" t="s">
        <v>158</v>
      </c>
      <c r="F12" s="1" t="s">
        <v>239</v>
      </c>
      <c r="G12" s="531" t="b">
        <f>IF(AND('R2U_Project'!O24="Yes",'R2U_Project'!$M$14&gt;5),TRUE,FALSE)</f>
        <v>0</v>
      </c>
      <c r="I12" s="1" t="s">
        <v>74</v>
      </c>
      <c r="J12" s="544" t="b">
        <v>0</v>
      </c>
      <c r="N12" s="535">
        <f>IF(C114=1,1,IF(J12=TRUE,1,0))</f>
        <v>0</v>
      </c>
      <c r="O12" t="s">
        <v>171</v>
      </c>
      <c r="P12" t="s">
        <v>173</v>
      </c>
    </row>
    <row r="13" spans="2:16" x14ac:dyDescent="0.25">
      <c r="B13" s="706"/>
      <c r="C13" s="533" t="s">
        <v>159</v>
      </c>
      <c r="F13" s="1" t="s">
        <v>240</v>
      </c>
      <c r="G13" s="531" t="b">
        <f>IF(AND('R2U_Project'!O25="Yes",'R2U_Project'!$M$14&gt;6),TRUE,FALSE)</f>
        <v>0</v>
      </c>
      <c r="I13" s="545" t="s">
        <v>75</v>
      </c>
      <c r="J13" s="546" t="b">
        <v>0</v>
      </c>
      <c r="N13" s="535">
        <f>IF(J13=TRUE,1,0)</f>
        <v>0</v>
      </c>
    </row>
    <row r="14" spans="2:16" x14ac:dyDescent="0.25">
      <c r="B14" s="1" t="s">
        <v>160</v>
      </c>
      <c r="C14" s="531">
        <v>2</v>
      </c>
      <c r="F14" s="1" t="s">
        <v>241</v>
      </c>
      <c r="G14" s="531" t="b">
        <f>IF(AND('R2U_Project'!O26="Yes",'R2U_Project'!$M$14&gt;7),TRUE,FALSE)</f>
        <v>0</v>
      </c>
      <c r="I14" s="705" t="s">
        <v>237</v>
      </c>
      <c r="J14" s="705"/>
      <c r="K14" s="705"/>
      <c r="L14" s="705"/>
      <c r="M14" s="531">
        <v>1</v>
      </c>
    </row>
    <row r="15" spans="2:16" x14ac:dyDescent="0.25">
      <c r="F15" s="1" t="s">
        <v>242</v>
      </c>
      <c r="G15" s="531" t="b">
        <f>IF(AND('R2U_Project'!O27="Yes",'R2U_Project'!$M$14&gt;8),TRUE,FALSE)</f>
        <v>0</v>
      </c>
      <c r="I15" s="358" t="s">
        <v>394</v>
      </c>
      <c r="J15" s="547" t="b">
        <v>0</v>
      </c>
    </row>
    <row r="16" spans="2:16" x14ac:dyDescent="0.25">
      <c r="F16" s="1" t="s">
        <v>243</v>
      </c>
      <c r="G16" s="531" t="b">
        <f>IF(AND('R2U_Project'!O28="Yes",'R2U_Project'!$M$14&gt;9),TRUE,FALSE)</f>
        <v>0</v>
      </c>
    </row>
    <row r="19" spans="2:8" x14ac:dyDescent="0.25">
      <c r="B19" s="1" t="s">
        <v>319</v>
      </c>
      <c r="C19" s="531">
        <v>1</v>
      </c>
    </row>
    <row r="21" spans="2:8" x14ac:dyDescent="0.25">
      <c r="B21" s="1" t="s">
        <v>729</v>
      </c>
      <c r="C21" s="543">
        <f>N7+N8+D11*MID(N10,4,1)</f>
        <v>25</v>
      </c>
    </row>
    <row r="22" spans="2:8" x14ac:dyDescent="0.25">
      <c r="B22" s="1" t="s">
        <v>730</v>
      </c>
      <c r="C22" s="535">
        <f>E87+E97+D11*MID(E108,4,1)</f>
        <v>22</v>
      </c>
    </row>
    <row r="28" spans="2:8" x14ac:dyDescent="0.25">
      <c r="B28" t="s">
        <v>207</v>
      </c>
    </row>
    <row r="30" spans="2:8" x14ac:dyDescent="0.25">
      <c r="C30" s="1"/>
      <c r="D30" s="1" t="s">
        <v>168</v>
      </c>
      <c r="E30" s="1" t="s">
        <v>206</v>
      </c>
      <c r="G30" s="1"/>
      <c r="H30" s="1" t="s">
        <v>206</v>
      </c>
    </row>
    <row r="31" spans="2:8" x14ac:dyDescent="0.25">
      <c r="C31" s="1"/>
      <c r="D31" s="1" t="s">
        <v>2</v>
      </c>
      <c r="E31" s="531">
        <v>1</v>
      </c>
      <c r="G31" s="1" t="s">
        <v>3</v>
      </c>
      <c r="H31" s="531">
        <v>1</v>
      </c>
    </row>
    <row r="32" spans="2:8" x14ac:dyDescent="0.25">
      <c r="C32" s="702" t="s">
        <v>9</v>
      </c>
      <c r="D32" s="1" t="s">
        <v>10</v>
      </c>
      <c r="E32" s="531">
        <v>1</v>
      </c>
      <c r="G32" s="1" t="s">
        <v>4</v>
      </c>
      <c r="H32" s="531">
        <v>1</v>
      </c>
    </row>
    <row r="33" spans="2:8" x14ac:dyDescent="0.25">
      <c r="C33" s="703"/>
      <c r="D33" s="1" t="s">
        <v>11</v>
      </c>
      <c r="E33" s="531">
        <v>1</v>
      </c>
      <c r="G33" s="1" t="s">
        <v>331</v>
      </c>
      <c r="H33" s="531">
        <v>1</v>
      </c>
    </row>
    <row r="34" spans="2:8" x14ac:dyDescent="0.25">
      <c r="C34" s="702" t="s">
        <v>12</v>
      </c>
      <c r="D34" s="1" t="s">
        <v>10</v>
      </c>
      <c r="E34" s="531">
        <v>2</v>
      </c>
    </row>
    <row r="35" spans="2:8" x14ac:dyDescent="0.25">
      <c r="C35" s="703"/>
      <c r="D35" s="1" t="s">
        <v>11</v>
      </c>
      <c r="E35" s="531">
        <v>2</v>
      </c>
    </row>
    <row r="36" spans="2:8" x14ac:dyDescent="0.25">
      <c r="C36" s="702" t="s">
        <v>13</v>
      </c>
      <c r="D36" s="1" t="s">
        <v>10</v>
      </c>
      <c r="E36" s="531">
        <v>2</v>
      </c>
    </row>
    <row r="37" spans="2:8" x14ac:dyDescent="0.25">
      <c r="C37" s="703"/>
      <c r="D37" s="1" t="s">
        <v>11</v>
      </c>
      <c r="E37" s="531">
        <v>2</v>
      </c>
    </row>
    <row r="38" spans="2:8" x14ac:dyDescent="0.25">
      <c r="C38" s="1"/>
      <c r="D38" s="1" t="s">
        <v>262</v>
      </c>
      <c r="E38" s="531">
        <v>1</v>
      </c>
    </row>
    <row r="40" spans="2:8" x14ac:dyDescent="0.25">
      <c r="B40" s="1" t="s">
        <v>14</v>
      </c>
      <c r="C40" s="1"/>
      <c r="D40" s="1"/>
      <c r="E40" s="1" t="s">
        <v>206</v>
      </c>
    </row>
    <row r="41" spans="2:8" x14ac:dyDescent="0.25">
      <c r="B41" s="1" t="s">
        <v>15</v>
      </c>
      <c r="C41" s="1" t="s">
        <v>26</v>
      </c>
      <c r="D41" s="1"/>
      <c r="E41" s="531">
        <v>2</v>
      </c>
    </row>
    <row r="42" spans="2:8" x14ac:dyDescent="0.25">
      <c r="B42" s="1" t="s">
        <v>16</v>
      </c>
      <c r="C42" s="1" t="s">
        <v>27</v>
      </c>
      <c r="D42" s="1"/>
      <c r="E42" s="531">
        <v>2</v>
      </c>
    </row>
    <row r="43" spans="2:8" x14ac:dyDescent="0.25">
      <c r="B43" s="1" t="s">
        <v>17</v>
      </c>
      <c r="C43" s="1" t="s">
        <v>26</v>
      </c>
      <c r="D43" s="1"/>
      <c r="E43" s="531">
        <v>2</v>
      </c>
    </row>
    <row r="44" spans="2:8" x14ac:dyDescent="0.25">
      <c r="B44" s="1" t="s">
        <v>18</v>
      </c>
      <c r="C44" s="1" t="s">
        <v>27</v>
      </c>
      <c r="D44" s="1"/>
      <c r="E44" s="531">
        <v>1</v>
      </c>
    </row>
    <row r="45" spans="2:8" x14ac:dyDescent="0.25">
      <c r="B45" s="1" t="s">
        <v>19</v>
      </c>
      <c r="C45" s="1" t="s">
        <v>27</v>
      </c>
      <c r="D45" s="1"/>
      <c r="E45" s="531">
        <v>2</v>
      </c>
    </row>
    <row r="46" spans="2:8" x14ac:dyDescent="0.25">
      <c r="B46" s="1" t="s">
        <v>20</v>
      </c>
      <c r="C46" s="1" t="s">
        <v>26</v>
      </c>
      <c r="D46" s="1"/>
      <c r="E46" s="531">
        <v>2</v>
      </c>
    </row>
    <row r="47" spans="2:8" x14ac:dyDescent="0.25">
      <c r="B47" s="1" t="s">
        <v>21</v>
      </c>
      <c r="C47" s="1" t="s">
        <v>28</v>
      </c>
      <c r="D47" s="1"/>
      <c r="E47" s="531">
        <v>1</v>
      </c>
    </row>
    <row r="48" spans="2:8" x14ac:dyDescent="0.25">
      <c r="B48" s="1" t="s">
        <v>22</v>
      </c>
      <c r="C48" s="1" t="s">
        <v>29</v>
      </c>
      <c r="D48" s="1"/>
      <c r="E48" s="531">
        <v>1</v>
      </c>
    </row>
    <row r="49" spans="2:7" x14ac:dyDescent="0.25">
      <c r="B49" s="1"/>
      <c r="C49" s="1" t="s">
        <v>30</v>
      </c>
      <c r="D49" s="1"/>
      <c r="E49" s="531">
        <v>1</v>
      </c>
    </row>
    <row r="50" spans="2:7" x14ac:dyDescent="0.25">
      <c r="B50" s="1"/>
      <c r="C50" s="1" t="s">
        <v>31</v>
      </c>
      <c r="D50" s="1"/>
      <c r="E50" s="531">
        <v>1</v>
      </c>
    </row>
    <row r="51" spans="2:7" x14ac:dyDescent="0.25">
      <c r="B51" s="1"/>
      <c r="C51" s="1" t="s">
        <v>32</v>
      </c>
      <c r="D51" s="1"/>
      <c r="E51" s="531">
        <v>1</v>
      </c>
    </row>
    <row r="52" spans="2:7" x14ac:dyDescent="0.25">
      <c r="B52" s="1" t="s">
        <v>23</v>
      </c>
      <c r="C52" s="1" t="s">
        <v>33</v>
      </c>
      <c r="D52" s="1"/>
      <c r="E52" s="531">
        <v>1</v>
      </c>
      <c r="G52" s="1" t="s">
        <v>111</v>
      </c>
    </row>
    <row r="53" spans="2:7" x14ac:dyDescent="0.25">
      <c r="B53" s="1" t="s">
        <v>24</v>
      </c>
      <c r="C53" s="1" t="s">
        <v>34</v>
      </c>
      <c r="D53" s="531">
        <v>2</v>
      </c>
      <c r="E53" s="531">
        <v>1</v>
      </c>
      <c r="G53" s="536">
        <v>5</v>
      </c>
    </row>
    <row r="54" spans="2:7" x14ac:dyDescent="0.25">
      <c r="B54" s="1"/>
      <c r="C54" s="1" t="s">
        <v>35</v>
      </c>
      <c r="D54" s="1"/>
      <c r="E54" s="531"/>
      <c r="G54" s="536">
        <v>10</v>
      </c>
    </row>
    <row r="55" spans="2:7" x14ac:dyDescent="0.25">
      <c r="B55" s="1"/>
      <c r="C55" s="1" t="s">
        <v>36</v>
      </c>
      <c r="D55" s="1"/>
      <c r="E55" s="531"/>
      <c r="G55" s="536">
        <v>20</v>
      </c>
    </row>
    <row r="56" spans="2:7" x14ac:dyDescent="0.25">
      <c r="B56" s="1"/>
      <c r="C56" s="1" t="s">
        <v>37</v>
      </c>
      <c r="D56" s="531">
        <v>2</v>
      </c>
      <c r="E56" s="531">
        <v>1</v>
      </c>
    </row>
    <row r="57" spans="2:7" x14ac:dyDescent="0.25">
      <c r="B57" s="1"/>
      <c r="C57" s="1" t="s">
        <v>38</v>
      </c>
      <c r="D57" s="531">
        <v>2</v>
      </c>
      <c r="E57" s="531">
        <v>1</v>
      </c>
    </row>
    <row r="58" spans="2:7" x14ac:dyDescent="0.25">
      <c r="B58" s="1"/>
      <c r="C58" s="1" t="s">
        <v>39</v>
      </c>
      <c r="D58" s="531">
        <v>2</v>
      </c>
      <c r="E58" s="531">
        <v>1</v>
      </c>
    </row>
    <row r="59" spans="2:7" x14ac:dyDescent="0.25">
      <c r="B59" s="1" t="s">
        <v>25</v>
      </c>
      <c r="C59" s="1" t="s">
        <v>40</v>
      </c>
      <c r="D59" s="1"/>
      <c r="E59" s="531">
        <v>2</v>
      </c>
    </row>
    <row r="60" spans="2:7" x14ac:dyDescent="0.25">
      <c r="B60" s="1"/>
      <c r="C60" s="1" t="s">
        <v>41</v>
      </c>
      <c r="D60" s="1"/>
      <c r="E60" s="531">
        <v>2</v>
      </c>
    </row>
    <row r="61" spans="2:7" x14ac:dyDescent="0.25">
      <c r="B61" s="1"/>
      <c r="C61" s="1" t="s">
        <v>42</v>
      </c>
      <c r="D61" s="1"/>
      <c r="E61" s="531">
        <v>2</v>
      </c>
    </row>
    <row r="62" spans="2:7" x14ac:dyDescent="0.25">
      <c r="B62" s="1"/>
      <c r="C62" s="1" t="s">
        <v>43</v>
      </c>
      <c r="D62" s="1"/>
      <c r="E62" s="531">
        <v>2</v>
      </c>
    </row>
    <row r="63" spans="2:7" x14ac:dyDescent="0.25">
      <c r="B63" s="1"/>
      <c r="C63" s="1" t="s">
        <v>44</v>
      </c>
      <c r="D63" s="1"/>
      <c r="E63" s="531">
        <v>2</v>
      </c>
    </row>
    <row r="66" spans="1:5" x14ac:dyDescent="0.25">
      <c r="C66" s="1" t="s">
        <v>45</v>
      </c>
      <c r="D66" s="1"/>
      <c r="E66" s="1" t="s">
        <v>206</v>
      </c>
    </row>
    <row r="67" spans="1:5" x14ac:dyDescent="0.25">
      <c r="C67" s="1" t="s">
        <v>46</v>
      </c>
      <c r="D67" s="1"/>
      <c r="E67" s="531">
        <v>1</v>
      </c>
    </row>
    <row r="68" spans="1:5" x14ac:dyDescent="0.25">
      <c r="C68" s="1" t="s">
        <v>47</v>
      </c>
      <c r="D68" s="1"/>
      <c r="E68" s="531">
        <v>1</v>
      </c>
    </row>
    <row r="69" spans="1:5" x14ac:dyDescent="0.25">
      <c r="C69" s="1" t="s">
        <v>48</v>
      </c>
      <c r="D69" s="1" t="s">
        <v>50</v>
      </c>
      <c r="E69" s="531">
        <v>2</v>
      </c>
    </row>
    <row r="70" spans="1:5" x14ac:dyDescent="0.25">
      <c r="C70" s="1"/>
      <c r="D70" s="1" t="s">
        <v>51</v>
      </c>
      <c r="E70" s="1"/>
    </row>
    <row r="71" spans="1:5" x14ac:dyDescent="0.25">
      <c r="C71" s="1"/>
      <c r="D71" s="1" t="s">
        <v>52</v>
      </c>
      <c r="E71" s="1"/>
    </row>
    <row r="72" spans="1:5" x14ac:dyDescent="0.25">
      <c r="C72" s="1"/>
      <c r="D72" s="1" t="s">
        <v>53</v>
      </c>
      <c r="E72" s="1"/>
    </row>
    <row r="73" spans="1:5" x14ac:dyDescent="0.25">
      <c r="C73" s="1" t="s">
        <v>49</v>
      </c>
      <c r="D73" s="1" t="s">
        <v>40</v>
      </c>
      <c r="E73" s="531">
        <v>2</v>
      </c>
    </row>
    <row r="74" spans="1:5" x14ac:dyDescent="0.25">
      <c r="C74" s="1"/>
      <c r="D74" s="1" t="s">
        <v>54</v>
      </c>
      <c r="E74" s="1"/>
    </row>
    <row r="75" spans="1:5" x14ac:dyDescent="0.25">
      <c r="C75" s="1"/>
      <c r="D75" s="1" t="s">
        <v>42</v>
      </c>
      <c r="E75" s="1"/>
    </row>
    <row r="76" spans="1:5" x14ac:dyDescent="0.25">
      <c r="C76" s="1"/>
      <c r="D76" s="1" t="s">
        <v>43</v>
      </c>
      <c r="E76" s="1"/>
    </row>
    <row r="77" spans="1:5" x14ac:dyDescent="0.25">
      <c r="C77" s="1"/>
      <c r="D77" s="1" t="s">
        <v>44</v>
      </c>
      <c r="E77" s="1"/>
    </row>
    <row r="79" spans="1:5" x14ac:dyDescent="0.25">
      <c r="B79" t="s">
        <v>202</v>
      </c>
      <c r="C79" t="s">
        <v>203</v>
      </c>
      <c r="D79" t="s">
        <v>204</v>
      </c>
    </row>
    <row r="80" spans="1:5" x14ac:dyDescent="0.25">
      <c r="A80">
        <v>1</v>
      </c>
      <c r="B80" t="s">
        <v>176</v>
      </c>
      <c r="C80" s="538">
        <v>9</v>
      </c>
      <c r="D80" s="538" t="str">
        <f>IF(9+N8&gt;E87+E97,9,"")</f>
        <v/>
      </c>
    </row>
    <row r="81" spans="1:9" x14ac:dyDescent="0.25">
      <c r="A81">
        <v>2</v>
      </c>
      <c r="C81" s="538">
        <v>9.5</v>
      </c>
      <c r="D81" s="538" t="str">
        <f>IF(J7=TRUE,IF(9.5+N8&gt;E87+E97,9.5,IF(C87&gt;1,"",9.5)),"")</f>
        <v/>
      </c>
    </row>
    <row r="82" spans="1:9" x14ac:dyDescent="0.25">
      <c r="A82">
        <v>3</v>
      </c>
      <c r="C82" s="538">
        <v>10</v>
      </c>
      <c r="D82" s="538" t="str">
        <f>IF(J7=TRUE,IF(10+N8&gt;E87+E97,10,IF(C87&gt;2,"",10)),"")</f>
        <v/>
      </c>
    </row>
    <row r="83" spans="1:9" x14ac:dyDescent="0.25">
      <c r="A83">
        <v>4</v>
      </c>
      <c r="C83" s="538">
        <v>10.5</v>
      </c>
      <c r="D83" s="538" t="str">
        <f>IF(J7=TRUE,IF(10.5+N8&gt;E87+E97,10.5,IF(C87&gt;3,"",10.5)),"")</f>
        <v/>
      </c>
    </row>
    <row r="84" spans="1:9" x14ac:dyDescent="0.25">
      <c r="A84">
        <v>5</v>
      </c>
      <c r="C84" s="538">
        <v>11</v>
      </c>
      <c r="D84" s="538" t="str">
        <f>IF(J7=TRUE,IF(11+N8&gt;E87+E97,11,IF(C87&gt;4,"",11)),"")</f>
        <v/>
      </c>
    </row>
    <row r="85" spans="1:9" x14ac:dyDescent="0.25">
      <c r="A85">
        <v>6</v>
      </c>
      <c r="C85" s="538">
        <v>11.5</v>
      </c>
      <c r="D85" s="538" t="str">
        <f>IF(J7=TRUE,IF(11.5+N8&gt;E87+E97,11.5,IF(C87&gt;5,"",11.5)),"")</f>
        <v/>
      </c>
    </row>
    <row r="86" spans="1:9" x14ac:dyDescent="0.25">
      <c r="A86">
        <v>7</v>
      </c>
      <c r="C86" s="538">
        <v>12</v>
      </c>
      <c r="D86" s="538" t="str">
        <f>IF(J7=TRUE,IF(12+N8&gt;E87+E97,12,IF(C87&gt;6,"",12)),"")</f>
        <v/>
      </c>
    </row>
    <row r="87" spans="1:9" x14ac:dyDescent="0.25">
      <c r="B87" s="1" t="s">
        <v>179</v>
      </c>
      <c r="C87" s="531">
        <v>7</v>
      </c>
      <c r="D87" s="531">
        <v>7</v>
      </c>
      <c r="E87" s="535">
        <f>VLOOKUP(C87,A80:C86,3)</f>
        <v>12</v>
      </c>
      <c r="F87" s="535" t="str">
        <f>VLOOKUP(D87,A80:D86,4)</f>
        <v/>
      </c>
    </row>
    <row r="88" spans="1:9" x14ac:dyDescent="0.25">
      <c r="A88">
        <v>1</v>
      </c>
      <c r="B88" t="s">
        <v>385</v>
      </c>
      <c r="C88" s="539">
        <v>0</v>
      </c>
      <c r="D88" s="539" t="str">
        <f>""</f>
        <v/>
      </c>
      <c r="F88" s="704" t="s">
        <v>386</v>
      </c>
      <c r="G88" s="690"/>
      <c r="H88" s="690"/>
    </row>
    <row r="89" spans="1:9" x14ac:dyDescent="0.25">
      <c r="A89">
        <v>2</v>
      </c>
      <c r="C89" s="539">
        <v>1</v>
      </c>
      <c r="D89" s="539" t="str">
        <f>IF(J8=TRUE,IF($C$97&gt;IF(F92=1,1,2),"",1),"")</f>
        <v/>
      </c>
      <c r="F89" s="358" t="s">
        <v>389</v>
      </c>
      <c r="H89" s="358" t="s">
        <v>390</v>
      </c>
    </row>
    <row r="90" spans="1:9" x14ac:dyDescent="0.25">
      <c r="A90">
        <v>3</v>
      </c>
      <c r="C90" s="539">
        <v>2</v>
      </c>
      <c r="D90" s="539" t="str">
        <f>IF(J8=TRUE,IF($C$97&gt;IF(F92=1,2,3),"",2),"")</f>
        <v/>
      </c>
      <c r="F90" s="533" t="s">
        <v>387</v>
      </c>
      <c r="H90" s="533" t="str">
        <f>IF(J9=TRUE,"Paved","")</f>
        <v/>
      </c>
    </row>
    <row r="91" spans="1:9" x14ac:dyDescent="0.25">
      <c r="A91">
        <v>4</v>
      </c>
      <c r="C91" s="539">
        <v>3</v>
      </c>
      <c r="D91" s="539" t="str">
        <f>IF(J8=TRUE,IF($C$97&gt;IF(F92=1,3,4),"",3),"")</f>
        <v/>
      </c>
      <c r="F91" s="540" t="s">
        <v>388</v>
      </c>
      <c r="H91" s="540" t="str">
        <f>IF(J9=TRUE,IF(F92=1,"Paved","Unpaved"),"")</f>
        <v/>
      </c>
    </row>
    <row r="92" spans="1:9" x14ac:dyDescent="0.25">
      <c r="A92">
        <v>5</v>
      </c>
      <c r="C92" s="539">
        <v>4</v>
      </c>
      <c r="D92" s="539" t="str">
        <f>IF(J8=TRUE,IF($C$97&gt;IF(F92=1,4,5),"",4),"")</f>
        <v/>
      </c>
      <c r="F92" s="531">
        <v>2</v>
      </c>
      <c r="G92" s="535" t="str">
        <f>IF(F92=1,"Paved","Unpaved")</f>
        <v>Unpaved</v>
      </c>
      <c r="H92" s="531">
        <v>1</v>
      </c>
      <c r="I92" s="535" t="str">
        <f>IF(J9=FALSE,G92,IF(H92=1,"Paved","Unpaved"))</f>
        <v>Unpaved</v>
      </c>
    </row>
    <row r="93" spans="1:9" x14ac:dyDescent="0.25">
      <c r="A93">
        <v>6</v>
      </c>
      <c r="C93" s="539">
        <v>5</v>
      </c>
      <c r="D93" s="539" t="str">
        <f>IF(J8=TRUE,IF($C$97&gt;IF(F92=1,5,6),"",5),"")</f>
        <v/>
      </c>
    </row>
    <row r="94" spans="1:9" x14ac:dyDescent="0.25">
      <c r="A94">
        <v>7</v>
      </c>
      <c r="C94" s="539">
        <v>6</v>
      </c>
      <c r="D94" s="539" t="str">
        <f>IF(J8=TRUE,IF($C$97&gt;IF(F92=1,6,7),"",6),"")</f>
        <v/>
      </c>
    </row>
    <row r="95" spans="1:9" x14ac:dyDescent="0.25">
      <c r="A95">
        <v>8</v>
      </c>
      <c r="C95" s="539">
        <v>7</v>
      </c>
      <c r="D95" s="539" t="str">
        <f>IF(J8=TRUE,IF($C$97&gt;IF(F92=1,7,8),"",7),"")</f>
        <v/>
      </c>
    </row>
    <row r="96" spans="1:9" x14ac:dyDescent="0.25">
      <c r="A96">
        <v>9</v>
      </c>
      <c r="C96" s="539">
        <v>8</v>
      </c>
      <c r="D96" s="539" t="str">
        <f>IF(J8=TRUE,IF($C$97&gt;IF(F92=1,8,9),"",8),"")</f>
        <v/>
      </c>
    </row>
    <row r="97" spans="1:6" x14ac:dyDescent="0.25">
      <c r="B97" s="1" t="s">
        <v>180</v>
      </c>
      <c r="C97" s="531">
        <v>5</v>
      </c>
      <c r="D97" s="531">
        <v>4</v>
      </c>
      <c r="E97" s="535">
        <f>VLOOKUP(C97,A88:D96,3)</f>
        <v>4</v>
      </c>
      <c r="F97" s="535" t="str">
        <f>VLOOKUP(D97,A88:D96,4)</f>
        <v/>
      </c>
    </row>
    <row r="98" spans="1:6" x14ac:dyDescent="0.25">
      <c r="A98">
        <v>1</v>
      </c>
      <c r="B98" t="s">
        <v>178</v>
      </c>
      <c r="C98" s="539">
        <v>0</v>
      </c>
      <c r="D98" s="539"/>
    </row>
    <row r="99" spans="1:6" x14ac:dyDescent="0.25">
      <c r="A99">
        <v>2</v>
      </c>
      <c r="C99" s="539">
        <v>2</v>
      </c>
      <c r="D99" s="539" t="str">
        <f>IF(J9=TRUE,IF($C$103&gt;1,"",2),"")</f>
        <v/>
      </c>
    </row>
    <row r="100" spans="1:6" x14ac:dyDescent="0.25">
      <c r="A100">
        <v>3</v>
      </c>
      <c r="C100" s="539">
        <v>4</v>
      </c>
      <c r="D100" s="539" t="str">
        <f>IF(J9=TRUE,IF($C$103&gt;2,"",4),"")</f>
        <v/>
      </c>
    </row>
    <row r="101" spans="1:6" x14ac:dyDescent="0.25">
      <c r="A101">
        <v>4</v>
      </c>
      <c r="C101" s="539">
        <v>6</v>
      </c>
      <c r="D101" s="539" t="str">
        <f>IF(J9=TRUE,IF($C$103&gt;3,"",6),"")</f>
        <v/>
      </c>
    </row>
    <row r="102" spans="1:6" x14ac:dyDescent="0.25">
      <c r="A102">
        <v>5</v>
      </c>
      <c r="C102" s="541">
        <v>8</v>
      </c>
      <c r="D102" s="541" t="str">
        <f>IF(J9=TRUE,IF($C$103&gt;4,"",8),"")</f>
        <v/>
      </c>
    </row>
    <row r="103" spans="1:6" x14ac:dyDescent="0.25">
      <c r="B103" s="1" t="s">
        <v>181</v>
      </c>
      <c r="C103" s="531">
        <v>1</v>
      </c>
      <c r="D103" s="531">
        <v>5</v>
      </c>
      <c r="E103" s="535">
        <f>VLOOKUP(C103,A98:C102,3)</f>
        <v>0</v>
      </c>
      <c r="F103" s="535" t="str">
        <f>VLOOKUP(D103,A98:D102,4)</f>
        <v/>
      </c>
    </row>
    <row r="104" spans="1:6" x14ac:dyDescent="0.25">
      <c r="A104">
        <v>1</v>
      </c>
      <c r="B104" t="s">
        <v>175</v>
      </c>
      <c r="C104" s="542" t="s">
        <v>182</v>
      </c>
      <c r="D104" s="542"/>
    </row>
    <row r="105" spans="1:6" x14ac:dyDescent="0.25">
      <c r="A105">
        <v>2</v>
      </c>
      <c r="C105" s="533" t="s">
        <v>183</v>
      </c>
      <c r="D105" s="533" t="str">
        <f>IF(J10=TRUE,IF($C$108&gt;1,"","1V:3H"),"")</f>
        <v>1V:3H</v>
      </c>
    </row>
    <row r="106" spans="1:6" x14ac:dyDescent="0.25">
      <c r="A106">
        <v>3</v>
      </c>
      <c r="C106" s="533" t="s">
        <v>184</v>
      </c>
      <c r="D106" s="533" t="str">
        <f>IF(J10=TRUE,IF($C$108&gt;2,"","1V:4H"),"")</f>
        <v>1V:4H</v>
      </c>
    </row>
    <row r="107" spans="1:6" x14ac:dyDescent="0.25">
      <c r="A107">
        <v>4</v>
      </c>
      <c r="C107" s="533" t="s">
        <v>185</v>
      </c>
      <c r="D107" s="533" t="str">
        <f>IF(J10=TRUE,IF($C$108&gt;3,"","1V:6H"),"")</f>
        <v>1V:6H</v>
      </c>
    </row>
    <row r="108" spans="1:6" x14ac:dyDescent="0.25">
      <c r="B108" s="1" t="s">
        <v>741</v>
      </c>
      <c r="C108" s="531">
        <v>1</v>
      </c>
      <c r="D108" s="531">
        <v>2</v>
      </c>
      <c r="E108" s="535" t="str">
        <f>VLOOKUP(C108,A104:C107,3)</f>
        <v>1V:2H</v>
      </c>
      <c r="F108" s="535" t="str">
        <f>VLOOKUP(D108,A104:D107,4)</f>
        <v>1V:3H</v>
      </c>
    </row>
    <row r="109" spans="1:6" x14ac:dyDescent="0.25">
      <c r="B109" t="s">
        <v>73</v>
      </c>
      <c r="C109" s="533" t="s">
        <v>186</v>
      </c>
      <c r="D109" s="533"/>
    </row>
    <row r="110" spans="1:6" x14ac:dyDescent="0.25">
      <c r="C110" s="533" t="s">
        <v>187</v>
      </c>
      <c r="D110" s="533"/>
    </row>
    <row r="111" spans="1:6" x14ac:dyDescent="0.25">
      <c r="B111" s="1" t="s">
        <v>188</v>
      </c>
      <c r="C111" s="531">
        <v>2</v>
      </c>
    </row>
    <row r="112" spans="1:6" x14ac:dyDescent="0.25">
      <c r="B112" t="s">
        <v>74</v>
      </c>
      <c r="C112" s="533" t="s">
        <v>186</v>
      </c>
      <c r="D112" s="533"/>
    </row>
    <row r="113" spans="1:5" x14ac:dyDescent="0.25">
      <c r="C113" s="533" t="s">
        <v>187</v>
      </c>
      <c r="D113" s="533"/>
    </row>
    <row r="114" spans="1:5" x14ac:dyDescent="0.25">
      <c r="B114" s="1" t="s">
        <v>189</v>
      </c>
      <c r="C114" s="531">
        <v>2</v>
      </c>
    </row>
    <row r="115" spans="1:5" x14ac:dyDescent="0.25">
      <c r="B115" t="s">
        <v>194</v>
      </c>
      <c r="C115" s="533" t="s">
        <v>186</v>
      </c>
    </row>
    <row r="116" spans="1:5" x14ac:dyDescent="0.25">
      <c r="C116" s="533" t="s">
        <v>187</v>
      </c>
    </row>
    <row r="119" spans="1:5" x14ac:dyDescent="0.25">
      <c r="D119" s="1" t="s">
        <v>725</v>
      </c>
      <c r="E119" s="531">
        <v>2</v>
      </c>
    </row>
    <row r="120" spans="1:5" x14ac:dyDescent="0.25">
      <c r="D120" s="1" t="s">
        <v>264</v>
      </c>
      <c r="E120" s="531">
        <v>1</v>
      </c>
    </row>
    <row r="121" spans="1:5" x14ac:dyDescent="0.25">
      <c r="D121" s="1" t="s">
        <v>271</v>
      </c>
      <c r="E121" s="531">
        <v>1</v>
      </c>
    </row>
    <row r="122" spans="1:5" x14ac:dyDescent="0.25">
      <c r="D122" s="1" t="s">
        <v>270</v>
      </c>
      <c r="E122" s="531">
        <v>1</v>
      </c>
    </row>
    <row r="126" spans="1:5" x14ac:dyDescent="0.25">
      <c r="A126" t="s">
        <v>275</v>
      </c>
    </row>
    <row r="128" spans="1:5" x14ac:dyDescent="0.25">
      <c r="A128" s="1" t="s">
        <v>59</v>
      </c>
      <c r="B128" s="1" t="s">
        <v>276</v>
      </c>
      <c r="C128" s="1" t="s">
        <v>277</v>
      </c>
      <c r="D128" s="1" t="s">
        <v>278</v>
      </c>
    </row>
    <row r="129" spans="1:4" x14ac:dyDescent="0.25">
      <c r="A129" s="1">
        <v>9</v>
      </c>
      <c r="B129" s="1">
        <v>1.05</v>
      </c>
      <c r="C129" s="1">
        <f>1.05+2.81*10^(-4)*('R2U_Project'!C5-400)</f>
        <v>1.68506</v>
      </c>
      <c r="D129" s="1">
        <v>1.5</v>
      </c>
    </row>
    <row r="130" spans="1:4" x14ac:dyDescent="0.25">
      <c r="A130" s="1">
        <v>9.5</v>
      </c>
      <c r="B130" s="1">
        <f>0.5*(B129+B131)</f>
        <v>1.0350000000000001</v>
      </c>
      <c r="C130" s="1">
        <f>0.5*(C129+C131)</f>
        <v>1.5502799999999999</v>
      </c>
      <c r="D130" s="1">
        <f>0.5*(D129+D131)</f>
        <v>1.4</v>
      </c>
    </row>
    <row r="131" spans="1:4" x14ac:dyDescent="0.25">
      <c r="A131" s="1">
        <v>10</v>
      </c>
      <c r="B131" s="1">
        <v>1.02</v>
      </c>
      <c r="C131" s="1">
        <f>1.02+1.75*10^(-4)*('R2U_Project'!C5-400)</f>
        <v>1.4155</v>
      </c>
      <c r="D131" s="1">
        <v>1.3</v>
      </c>
    </row>
    <row r="132" spans="1:4" x14ac:dyDescent="0.25">
      <c r="A132" s="1">
        <v>10.5</v>
      </c>
      <c r="B132" s="1">
        <f>0.5*(B131+B133)</f>
        <v>1.0150000000000001</v>
      </c>
      <c r="C132" s="1">
        <f>0.5*(C131+C133)</f>
        <v>1.2410000000000001</v>
      </c>
      <c r="D132" s="1">
        <f>0.5*(D131+D133)</f>
        <v>1.175</v>
      </c>
    </row>
    <row r="133" spans="1:4" x14ac:dyDescent="0.25">
      <c r="A133" s="1">
        <v>11</v>
      </c>
      <c r="B133" s="1">
        <v>1.01</v>
      </c>
      <c r="C133" s="1">
        <f>1.01+2.5*10^(-5)*('R2U_Project'!C5-400)</f>
        <v>1.0665</v>
      </c>
      <c r="D133" s="1">
        <v>1.05</v>
      </c>
    </row>
    <row r="134" spans="1:4" x14ac:dyDescent="0.25">
      <c r="A134" s="1">
        <v>11.5</v>
      </c>
      <c r="B134" s="1">
        <f>0.5*(B133+B135)</f>
        <v>1.0049999999999999</v>
      </c>
      <c r="C134" s="1">
        <f>0.5*(C133+C135)</f>
        <v>1.03325</v>
      </c>
      <c r="D134" s="1">
        <f>0.5*(D133+D135)</f>
        <v>1.0249999999999999</v>
      </c>
    </row>
    <row r="135" spans="1:4" x14ac:dyDescent="0.25">
      <c r="A135" s="1">
        <v>12</v>
      </c>
      <c r="B135" s="1">
        <v>1</v>
      </c>
      <c r="C135" s="1">
        <v>1</v>
      </c>
      <c r="D135" s="1">
        <v>1</v>
      </c>
    </row>
    <row r="136" spans="1:4" x14ac:dyDescent="0.25">
      <c r="A136" s="1" t="s">
        <v>300</v>
      </c>
      <c r="B136" s="1">
        <v>2</v>
      </c>
    </row>
    <row r="137" spans="1:4" x14ac:dyDescent="0.25">
      <c r="A137" s="1" t="s">
        <v>277</v>
      </c>
      <c r="B137" s="1">
        <v>3</v>
      </c>
    </row>
    <row r="138" spans="1:4" x14ac:dyDescent="0.25">
      <c r="A138" s="1" t="s">
        <v>299</v>
      </c>
      <c r="B138" s="1">
        <v>4</v>
      </c>
    </row>
    <row r="140" spans="1:4" x14ac:dyDescent="0.25">
      <c r="A140" s="1" t="s">
        <v>279</v>
      </c>
      <c r="B140" s="1" t="s">
        <v>276</v>
      </c>
      <c r="C140" s="1" t="s">
        <v>277</v>
      </c>
      <c r="D140" s="1" t="s">
        <v>278</v>
      </c>
    </row>
    <row r="141" spans="1:4" x14ac:dyDescent="0.25">
      <c r="A141" s="1">
        <v>0</v>
      </c>
      <c r="B141" s="1">
        <v>1.1000000000000001</v>
      </c>
      <c r="C141" s="1">
        <f>1.1+2.5*10^(-4)*('R2U_Project'!C5-400)</f>
        <v>1.665</v>
      </c>
      <c r="D141" s="1">
        <v>1.5</v>
      </c>
    </row>
    <row r="142" spans="1:4" x14ac:dyDescent="0.25">
      <c r="A142" s="1">
        <v>1</v>
      </c>
      <c r="B142" s="1">
        <f>0.5*(B141+B143)</f>
        <v>1.085</v>
      </c>
      <c r="C142" s="1">
        <f>0.5*(C141+C143)</f>
        <v>1.5290900000000001</v>
      </c>
      <c r="D142" s="1">
        <f>0.5*(D141+D143)</f>
        <v>1.4</v>
      </c>
    </row>
    <row r="143" spans="1:4" x14ac:dyDescent="0.25">
      <c r="A143" s="1">
        <v>2</v>
      </c>
      <c r="B143" s="1">
        <v>1.07</v>
      </c>
      <c r="C143" s="1">
        <f>1.07+1.43*10^(-4)*('R2U_Project'!C5-400)</f>
        <v>1.3931800000000001</v>
      </c>
      <c r="D143" s="1">
        <v>1.3</v>
      </c>
    </row>
    <row r="144" spans="1:4" x14ac:dyDescent="0.25">
      <c r="A144" s="1">
        <v>3</v>
      </c>
      <c r="B144" s="1">
        <f>0.5*(B143+B145)</f>
        <v>1.0449999999999999</v>
      </c>
      <c r="C144" s="1">
        <f>0.5*(C143+C145)</f>
        <v>1.2984024999999999</v>
      </c>
      <c r="D144" s="1">
        <f>0.5*(D143+D145)</f>
        <v>1.2250000000000001</v>
      </c>
    </row>
    <row r="145" spans="1:10" x14ac:dyDescent="0.25">
      <c r="A145" s="1">
        <v>4</v>
      </c>
      <c r="B145" s="1">
        <v>1.02</v>
      </c>
      <c r="C145" s="1">
        <f>1.02+8.125*10^(-5)*('R2U_Project'!C5-400)</f>
        <v>1.2036249999999999</v>
      </c>
      <c r="D145" s="1">
        <v>1.1499999999999999</v>
      </c>
    </row>
    <row r="146" spans="1:10" x14ac:dyDescent="0.25">
      <c r="A146" s="1">
        <v>5</v>
      </c>
      <c r="B146" s="1">
        <f>0.5*(B145+B147)</f>
        <v>1.01</v>
      </c>
      <c r="C146" s="1">
        <f>0.5*(C145+C147)</f>
        <v>1.1018124999999999</v>
      </c>
      <c r="D146" s="1">
        <f>0.5*(D145+D147)</f>
        <v>1.075</v>
      </c>
    </row>
    <row r="147" spans="1:10" x14ac:dyDescent="0.25">
      <c r="A147" s="1">
        <v>6</v>
      </c>
      <c r="B147" s="1">
        <v>1</v>
      </c>
      <c r="C147" s="1">
        <v>1</v>
      </c>
      <c r="D147" s="1">
        <v>1</v>
      </c>
    </row>
    <row r="148" spans="1:10" x14ac:dyDescent="0.25">
      <c r="A148" s="1">
        <v>7</v>
      </c>
      <c r="B148" s="1">
        <f>0.5*(B147+B149)</f>
        <v>0.99</v>
      </c>
      <c r="C148" s="1">
        <f>0.5*(C147+C149)</f>
        <v>0.91231249999999997</v>
      </c>
      <c r="D148" s="1">
        <f>0.5*(D147+D149)</f>
        <v>0.93500000000000005</v>
      </c>
    </row>
    <row r="149" spans="1:10" x14ac:dyDescent="0.25">
      <c r="A149" s="1">
        <v>8</v>
      </c>
      <c r="B149" s="1">
        <v>0.98</v>
      </c>
      <c r="C149" s="1">
        <f>0.98-6.875*10^(-5)*('R2U_Project'!C5-400)</f>
        <v>0.82462499999999994</v>
      </c>
      <c r="D149" s="1">
        <v>0.87</v>
      </c>
    </row>
    <row r="152" spans="1:10" x14ac:dyDescent="0.25">
      <c r="A152" s="1" t="s">
        <v>300</v>
      </c>
      <c r="B152" s="1">
        <v>2</v>
      </c>
    </row>
    <row r="153" spans="1:10" x14ac:dyDescent="0.25">
      <c r="A153" s="1" t="s">
        <v>277</v>
      </c>
      <c r="B153" s="1">
        <v>3</v>
      </c>
    </row>
    <row r="154" spans="1:10" x14ac:dyDescent="0.25">
      <c r="A154" s="1" t="s">
        <v>299</v>
      </c>
      <c r="B154" s="1">
        <v>4</v>
      </c>
    </row>
    <row r="157" spans="1:10" x14ac:dyDescent="0.25">
      <c r="A157" s="1" t="s">
        <v>280</v>
      </c>
      <c r="B157" s="1">
        <v>0</v>
      </c>
      <c r="C157">
        <v>1</v>
      </c>
      <c r="D157">
        <v>2</v>
      </c>
      <c r="E157">
        <v>3</v>
      </c>
      <c r="F157">
        <v>4</v>
      </c>
      <c r="G157">
        <v>5</v>
      </c>
      <c r="H157">
        <v>6</v>
      </c>
      <c r="I157">
        <v>7</v>
      </c>
      <c r="J157">
        <v>8</v>
      </c>
    </row>
    <row r="158" spans="1:10" x14ac:dyDescent="0.25">
      <c r="A158" s="1">
        <v>1</v>
      </c>
      <c r="B158" s="1">
        <v>1</v>
      </c>
      <c r="C158">
        <v>1</v>
      </c>
      <c r="D158">
        <v>1</v>
      </c>
      <c r="E158">
        <v>1</v>
      </c>
      <c r="F158">
        <v>1</v>
      </c>
      <c r="G158">
        <v>1</v>
      </c>
      <c r="H158">
        <v>1</v>
      </c>
      <c r="I158">
        <v>1</v>
      </c>
      <c r="J158">
        <v>1</v>
      </c>
    </row>
    <row r="159" spans="1:10" x14ac:dyDescent="0.25">
      <c r="A159" s="1">
        <v>2</v>
      </c>
      <c r="B159" s="1">
        <v>1</v>
      </c>
      <c r="C159">
        <v>1</v>
      </c>
      <c r="D159">
        <v>1.01</v>
      </c>
      <c r="E159">
        <v>1.01</v>
      </c>
      <c r="F159">
        <v>1.01</v>
      </c>
      <c r="G159">
        <v>1.0149999999999999</v>
      </c>
      <c r="H159">
        <v>1.02</v>
      </c>
      <c r="I159">
        <v>1.02</v>
      </c>
      <c r="J159">
        <v>1.02</v>
      </c>
    </row>
    <row r="160" spans="1:10" x14ac:dyDescent="0.25">
      <c r="A160" s="1">
        <v>3</v>
      </c>
      <c r="B160" s="1">
        <v>1</v>
      </c>
      <c r="D160">
        <v>1.02</v>
      </c>
      <c r="F160">
        <v>1.03</v>
      </c>
      <c r="H160">
        <v>1.04</v>
      </c>
      <c r="J160">
        <v>1.06</v>
      </c>
    </row>
    <row r="161" spans="1:10" x14ac:dyDescent="0.25">
      <c r="A161" s="1">
        <v>4</v>
      </c>
      <c r="B161" s="1">
        <v>1</v>
      </c>
      <c r="D161">
        <v>1.03</v>
      </c>
      <c r="F161">
        <v>1.05</v>
      </c>
      <c r="H161">
        <v>1.08</v>
      </c>
      <c r="J161">
        <v>1.1100000000000001</v>
      </c>
    </row>
    <row r="162" spans="1:10" x14ac:dyDescent="0.25">
      <c r="A162" s="1">
        <f>F92</f>
        <v>2</v>
      </c>
      <c r="B162" s="1">
        <f>IF(I92="Unpaved",2,1)</f>
        <v>2</v>
      </c>
    </row>
    <row r="164" spans="1:10" x14ac:dyDescent="0.25">
      <c r="A164" s="1">
        <v>0</v>
      </c>
      <c r="B164" s="1">
        <v>2</v>
      </c>
    </row>
    <row r="165" spans="1:10" x14ac:dyDescent="0.25">
      <c r="A165" s="1">
        <v>1</v>
      </c>
      <c r="B165" s="1">
        <v>3</v>
      </c>
    </row>
    <row r="166" spans="1:10" x14ac:dyDescent="0.25">
      <c r="A166" s="1">
        <v>2</v>
      </c>
      <c r="B166" s="1">
        <v>4</v>
      </c>
    </row>
    <row r="167" spans="1:10" x14ac:dyDescent="0.25">
      <c r="A167" s="1">
        <v>3</v>
      </c>
      <c r="B167" s="1">
        <v>5</v>
      </c>
    </row>
    <row r="168" spans="1:10" x14ac:dyDescent="0.25">
      <c r="A168" s="1">
        <v>4</v>
      </c>
      <c r="B168" s="1">
        <v>6</v>
      </c>
    </row>
    <row r="169" spans="1:10" x14ac:dyDescent="0.25">
      <c r="A169" s="1">
        <v>5</v>
      </c>
      <c r="B169" s="1">
        <v>7</v>
      </c>
    </row>
    <row r="170" spans="1:10" x14ac:dyDescent="0.25">
      <c r="A170" s="1">
        <v>6</v>
      </c>
      <c r="B170" s="1">
        <v>8</v>
      </c>
    </row>
    <row r="171" spans="1:10" x14ac:dyDescent="0.25">
      <c r="A171" s="1">
        <v>7</v>
      </c>
      <c r="B171" s="1">
        <v>9</v>
      </c>
    </row>
    <row r="172" spans="1:10" x14ac:dyDescent="0.25">
      <c r="A172" s="1">
        <v>8</v>
      </c>
      <c r="B172" s="1">
        <v>10</v>
      </c>
    </row>
    <row r="175" spans="1:10" x14ac:dyDescent="0.25">
      <c r="A175" s="1" t="s">
        <v>283</v>
      </c>
      <c r="B175" s="1" t="s">
        <v>742</v>
      </c>
    </row>
    <row r="176" spans="1:10" x14ac:dyDescent="0.25">
      <c r="A176" s="1" t="s">
        <v>182</v>
      </c>
      <c r="B176" s="1">
        <v>1.01</v>
      </c>
    </row>
    <row r="177" spans="1:5" x14ac:dyDescent="0.25">
      <c r="A177" s="1" t="s">
        <v>183</v>
      </c>
      <c r="B177" s="1">
        <v>1</v>
      </c>
    </row>
    <row r="178" spans="1:5" x14ac:dyDescent="0.25">
      <c r="A178" s="1" t="s">
        <v>184</v>
      </c>
      <c r="B178" s="1">
        <v>0.95</v>
      </c>
    </row>
    <row r="179" spans="1:5" x14ac:dyDescent="0.25">
      <c r="A179" s="1" t="s">
        <v>185</v>
      </c>
      <c r="B179" s="1">
        <v>0.89</v>
      </c>
    </row>
    <row r="181" spans="1:5" x14ac:dyDescent="0.25">
      <c r="A181" s="1" t="s">
        <v>402</v>
      </c>
      <c r="B181" s="1"/>
    </row>
    <row r="182" spans="1:5" x14ac:dyDescent="0.25">
      <c r="A182" s="1" t="s">
        <v>403</v>
      </c>
      <c r="B182" s="1">
        <f>IF($J$15=TRUE,'R2U_Project'!P31,0)</f>
        <v>0</v>
      </c>
      <c r="D182" s="1" t="s">
        <v>407</v>
      </c>
      <c r="E182" s="1">
        <f>MAX(200,IF(B183&lt;45,B186*B183^2/60,B186*B183))</f>
        <v>200</v>
      </c>
    </row>
    <row r="183" spans="1:5" x14ac:dyDescent="0.25">
      <c r="A183" s="1" t="s">
        <v>404</v>
      </c>
      <c r="B183" s="1">
        <f>IF($J$15=TRUE,'R2U_Project'!P32,0)</f>
        <v>0</v>
      </c>
      <c r="D183" s="1" t="s">
        <v>408</v>
      </c>
      <c r="E183" s="1">
        <f>B184*5280-E182*2*B182</f>
        <v>0</v>
      </c>
    </row>
    <row r="184" spans="1:5" x14ac:dyDescent="0.25">
      <c r="A184" s="1" t="s">
        <v>71</v>
      </c>
      <c r="B184" s="1">
        <f>IF($J$15=TRUE,'R2U_Project'!P33,0)</f>
        <v>0</v>
      </c>
      <c r="D184" s="1" t="s">
        <v>412</v>
      </c>
      <c r="E184" s="1">
        <f>B182*2</f>
        <v>0</v>
      </c>
    </row>
    <row r="185" spans="1:5" x14ac:dyDescent="0.25">
      <c r="A185" s="1" t="s">
        <v>405</v>
      </c>
      <c r="B185" s="1">
        <f>IF($J$15=TRUE,'R2U_Project'!P34,0)</f>
        <v>0</v>
      </c>
    </row>
    <row r="186" spans="1:5" x14ac:dyDescent="0.25">
      <c r="A186" s="1" t="s">
        <v>406</v>
      </c>
      <c r="B186" s="1">
        <f>IF($J$15=TRUE,'R2U_Project'!P35,0)</f>
        <v>0</v>
      </c>
    </row>
  </sheetData>
  <mergeCells count="7">
    <mergeCell ref="C36:C37"/>
    <mergeCell ref="F88:H88"/>
    <mergeCell ref="I14:L14"/>
    <mergeCell ref="B8:B10"/>
    <mergeCell ref="B12:B13"/>
    <mergeCell ref="C32:C33"/>
    <mergeCell ref="C34:C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Q67"/>
  <sheetViews>
    <sheetView showGridLines="0" zoomScaleNormal="100" workbookViewId="0"/>
  </sheetViews>
  <sheetFormatPr defaultRowHeight="15" x14ac:dyDescent="0.25"/>
  <cols>
    <col min="2" max="2" width="28.42578125" customWidth="1"/>
    <col min="3" max="3" width="18.5703125" customWidth="1"/>
    <col min="4" max="4" width="13.140625" customWidth="1"/>
    <col min="5" max="5" width="16.140625" customWidth="1"/>
    <col min="6" max="6" width="19.85546875" customWidth="1"/>
    <col min="8" max="8" width="13.85546875" customWidth="1"/>
    <col min="9" max="9" width="11" customWidth="1"/>
    <col min="10" max="10" width="11.28515625" customWidth="1"/>
    <col min="11" max="11" width="10.5703125" customWidth="1"/>
    <col min="12" max="12" width="15.28515625" customWidth="1"/>
    <col min="13" max="13" width="9.28515625" customWidth="1"/>
    <col min="14" max="14" width="8.42578125" customWidth="1"/>
    <col min="15" max="15" width="15.28515625" customWidth="1"/>
    <col min="16" max="16" width="17.85546875" customWidth="1"/>
  </cols>
  <sheetData>
    <row r="1" spans="1:17" x14ac:dyDescent="0.25">
      <c r="B1" s="575" t="s">
        <v>341</v>
      </c>
      <c r="C1" s="575"/>
      <c r="D1" s="575"/>
      <c r="E1" s="575"/>
      <c r="F1" s="575"/>
      <c r="G1" s="575"/>
      <c r="H1" s="575"/>
    </row>
    <row r="2" spans="1:17" ht="15.75" thickBot="1" x14ac:dyDescent="0.3"/>
    <row r="3" spans="1:17" ht="15" customHeight="1" thickTop="1" x14ac:dyDescent="0.25">
      <c r="B3" s="565" t="s">
        <v>472</v>
      </c>
      <c r="C3" s="565"/>
      <c r="E3" s="581" t="s">
        <v>317</v>
      </c>
      <c r="F3" s="582"/>
      <c r="G3" s="598" t="s">
        <v>100</v>
      </c>
      <c r="H3" s="598"/>
      <c r="I3" s="594" t="s">
        <v>7</v>
      </c>
      <c r="J3" s="594"/>
      <c r="K3" s="598" t="s">
        <v>79</v>
      </c>
      <c r="L3" s="612"/>
      <c r="N3" s="572" t="s">
        <v>379</v>
      </c>
      <c r="O3" s="572"/>
      <c r="P3" s="374">
        <f>SUM('R4UD_Calculations'!L52:L55)</f>
        <v>3.9521409641636716</v>
      </c>
    </row>
    <row r="4" spans="1:17" ht="20.100000000000001" customHeight="1" x14ac:dyDescent="0.25">
      <c r="B4" s="13" t="s">
        <v>340</v>
      </c>
      <c r="C4" s="300"/>
      <c r="E4" s="583"/>
      <c r="F4" s="584"/>
      <c r="G4" s="565"/>
      <c r="H4" s="565"/>
      <c r="I4" s="577"/>
      <c r="J4" s="577"/>
      <c r="K4" s="565"/>
      <c r="L4" s="613"/>
      <c r="N4" s="572" t="s">
        <v>380</v>
      </c>
      <c r="O4" s="572"/>
      <c r="P4" s="374">
        <f>'R4UD_Calculations'!L56</f>
        <v>14.602511449750281</v>
      </c>
    </row>
    <row r="5" spans="1:17" ht="20.100000000000001" customHeight="1" x14ac:dyDescent="0.25">
      <c r="B5" s="13" t="s">
        <v>191</v>
      </c>
      <c r="C5" s="115">
        <v>2</v>
      </c>
      <c r="E5" s="585" t="s">
        <v>298</v>
      </c>
      <c r="F5" s="586"/>
      <c r="G5" s="595">
        <f>'R4UD_Calculations'!C43</f>
        <v>1.4551915228366852E-11</v>
      </c>
      <c r="H5" s="595"/>
      <c r="I5" s="599"/>
      <c r="J5" s="599"/>
      <c r="K5" s="595">
        <f>IF('R4UD_Ref'!M14=1,G5,IF('R4UD_Ref'!M14=2,IF(I5&lt;&gt;"",I5,G5),"SELECT VALUE"))</f>
        <v>1.4551915228366852E-11</v>
      </c>
      <c r="L5" s="614" t="str">
        <f>IF('R4UD_Ref'!K28=1,'R4UD_Setup'!#REF!,IF('R4UD_Ref'!K28=2,IF(K5&lt;&gt;"",'R4UD_Setup'!#REF!,J5),"SELECT VALUE"))</f>
        <v>SELECT VALUE</v>
      </c>
      <c r="N5" s="572" t="s">
        <v>381</v>
      </c>
      <c r="O5" s="572"/>
      <c r="P5" s="374">
        <f>SUM('R4UD_Calculations'!L64:L67)</f>
        <v>3.9521409641636716</v>
      </c>
    </row>
    <row r="6" spans="1:17" ht="20.100000000000001" customHeight="1" x14ac:dyDescent="0.25">
      <c r="B6" s="13" t="s">
        <v>286</v>
      </c>
      <c r="C6" s="283">
        <v>20000</v>
      </c>
      <c r="E6" s="28" t="s">
        <v>201</v>
      </c>
      <c r="F6" s="4"/>
      <c r="G6" s="118"/>
      <c r="H6" s="118"/>
      <c r="I6" s="4"/>
      <c r="J6" s="4"/>
      <c r="K6" s="4"/>
      <c r="L6" s="116"/>
      <c r="N6" s="572" t="s">
        <v>382</v>
      </c>
      <c r="O6" s="572"/>
      <c r="P6" s="374">
        <f>'R4UD_Calculations'!L68</f>
        <v>14.602511449750281</v>
      </c>
    </row>
    <row r="7" spans="1:17" ht="20.100000000000001" customHeight="1" x14ac:dyDescent="0.25">
      <c r="B7" s="13" t="s">
        <v>2</v>
      </c>
      <c r="C7" s="299"/>
      <c r="E7" s="589"/>
      <c r="F7" s="590"/>
      <c r="G7" s="604"/>
      <c r="H7" s="604"/>
      <c r="I7" s="4"/>
      <c r="J7" s="602"/>
      <c r="K7" s="603"/>
      <c r="L7" s="11"/>
      <c r="N7" s="572" t="s">
        <v>383</v>
      </c>
      <c r="O7" s="572"/>
      <c r="P7" s="374">
        <f>SUM('R4UD_Calculations'!L58:L61)</f>
        <v>0</v>
      </c>
    </row>
    <row r="8" spans="1:17" ht="20.100000000000001" customHeight="1" x14ac:dyDescent="0.25">
      <c r="A8" s="4"/>
      <c r="B8" s="13" t="s">
        <v>61</v>
      </c>
      <c r="C8" s="298"/>
      <c r="D8" s="8"/>
      <c r="E8" s="587"/>
      <c r="F8" s="588"/>
      <c r="G8" s="596"/>
      <c r="H8" s="597"/>
      <c r="I8" s="7"/>
      <c r="J8" s="600"/>
      <c r="K8" s="601"/>
      <c r="L8" s="117"/>
      <c r="N8" s="572" t="s">
        <v>384</v>
      </c>
      <c r="O8" s="572"/>
      <c r="P8" s="374">
        <f>'R4UD_Calculations'!L62</f>
        <v>0</v>
      </c>
    </row>
    <row r="9" spans="1:17" ht="20.100000000000001" customHeight="1" x14ac:dyDescent="0.25">
      <c r="A9" s="4"/>
      <c r="B9" s="478"/>
      <c r="C9" s="478"/>
      <c r="D9" s="8"/>
      <c r="E9" s="608" t="s">
        <v>287</v>
      </c>
      <c r="F9" s="609"/>
      <c r="G9" s="610">
        <f>'R4UD_Calculations'!L76</f>
        <v>0</v>
      </c>
      <c r="H9" s="611"/>
      <c r="I9" s="2"/>
      <c r="J9" s="605" t="s">
        <v>101</v>
      </c>
      <c r="K9" s="605"/>
      <c r="L9" s="119">
        <f>G10/K5</f>
        <v>0</v>
      </c>
    </row>
    <row r="10" spans="1:17" ht="20.100000000000001" customHeight="1" thickBot="1" x14ac:dyDescent="0.3">
      <c r="A10" s="7"/>
      <c r="B10" s="26"/>
      <c r="C10" s="26"/>
      <c r="D10" s="276"/>
      <c r="E10" s="617" t="s">
        <v>288</v>
      </c>
      <c r="F10" s="618"/>
      <c r="G10" s="619">
        <f>G9*((1+'R4UD_Setup'!F50)^20-1)/('R4UD_Setup'!F50*(1+'R4UD_Setup'!F50)^20)</f>
        <v>0</v>
      </c>
      <c r="H10" s="619"/>
      <c r="I10" s="12"/>
      <c r="J10" s="620" t="s">
        <v>289</v>
      </c>
      <c r="K10" s="620"/>
      <c r="L10" s="218">
        <f>G10-K5</f>
        <v>-1.4551915228366852E-11</v>
      </c>
    </row>
    <row r="11" spans="1:17" ht="20.100000000000001" customHeight="1" thickTop="1" x14ac:dyDescent="0.25">
      <c r="A11" s="7"/>
      <c r="B11" s="129"/>
      <c r="C11" s="129"/>
      <c r="D11" s="8"/>
      <c r="E11" s="290"/>
      <c r="F11" s="290"/>
      <c r="G11" s="289"/>
      <c r="H11" s="289"/>
      <c r="I11" s="4"/>
      <c r="J11" s="290"/>
      <c r="K11" s="290"/>
      <c r="L11" s="296"/>
    </row>
    <row r="12" spans="1:17" ht="20.100000000000001" customHeight="1" x14ac:dyDescent="0.25">
      <c r="A12" s="7"/>
      <c r="B12" s="408"/>
      <c r="C12" s="408"/>
      <c r="D12" s="8"/>
      <c r="E12" s="4"/>
      <c r="F12" s="4"/>
      <c r="G12" s="4"/>
      <c r="H12" s="4"/>
      <c r="I12" s="4"/>
      <c r="J12" s="4"/>
      <c r="K12" s="4"/>
      <c r="L12" s="4"/>
      <c r="M12" s="4"/>
    </row>
    <row r="13" spans="1:17" ht="15" customHeight="1" x14ac:dyDescent="0.25">
      <c r="A13" s="7"/>
      <c r="B13" s="129"/>
      <c r="C13" s="129"/>
      <c r="D13" s="4"/>
      <c r="E13" s="625"/>
      <c r="F13" s="625"/>
      <c r="G13" s="26"/>
      <c r="H13" s="8"/>
      <c r="I13" s="4"/>
      <c r="J13" s="4"/>
      <c r="K13" s="4"/>
      <c r="L13" s="4"/>
      <c r="M13" s="4"/>
      <c r="N13" s="4"/>
      <c r="O13" s="4"/>
    </row>
    <row r="14" spans="1:17" ht="20.100000000000001" customHeight="1" x14ac:dyDescent="0.25">
      <c r="A14" s="4"/>
      <c r="B14" s="578"/>
      <c r="C14" s="579"/>
      <c r="D14" s="8"/>
      <c r="E14" s="625"/>
      <c r="F14" s="625"/>
      <c r="G14" s="7"/>
      <c r="H14" s="7"/>
      <c r="I14" s="565" t="s">
        <v>67</v>
      </c>
      <c r="J14" s="565"/>
      <c r="K14" s="565"/>
      <c r="L14" s="565"/>
      <c r="M14" s="565"/>
      <c r="N14" s="565"/>
      <c r="O14" s="565"/>
      <c r="P14" s="565"/>
      <c r="Q14" s="4"/>
    </row>
    <row r="15" spans="1:17" x14ac:dyDescent="0.25">
      <c r="B15" s="565" t="s">
        <v>57</v>
      </c>
      <c r="C15" s="565"/>
      <c r="D15" s="4"/>
      <c r="E15" s="625"/>
      <c r="F15" s="625"/>
      <c r="G15" s="7"/>
      <c r="H15" s="7"/>
      <c r="I15" s="572" t="s">
        <v>196</v>
      </c>
      <c r="J15" s="572"/>
      <c r="K15" s="572"/>
      <c r="L15" s="572"/>
      <c r="M15" s="627">
        <v>1</v>
      </c>
      <c r="N15" s="627"/>
      <c r="O15" s="627"/>
      <c r="P15" s="627"/>
      <c r="Q15" s="4"/>
    </row>
    <row r="16" spans="1:17" ht="20.100000000000001" customHeight="1" x14ac:dyDescent="0.25">
      <c r="B16" s="13" t="s">
        <v>176</v>
      </c>
      <c r="C16" s="3"/>
      <c r="H16" s="3"/>
      <c r="I16" s="572" t="s">
        <v>197</v>
      </c>
      <c r="J16" s="572"/>
      <c r="K16" s="572"/>
      <c r="L16" s="572"/>
      <c r="M16" s="628">
        <v>0.08</v>
      </c>
      <c r="N16" s="628"/>
      <c r="O16" s="628"/>
      <c r="P16" s="628"/>
      <c r="Q16" s="4"/>
    </row>
    <row r="17" spans="2:16" ht="20.100000000000001" customHeight="1" x14ac:dyDescent="0.25">
      <c r="B17" s="13" t="s">
        <v>385</v>
      </c>
      <c r="C17" s="280"/>
      <c r="E17" s="565" t="s">
        <v>65</v>
      </c>
      <c r="F17" s="565"/>
      <c r="G17" s="565"/>
      <c r="H17" s="222"/>
      <c r="I17" s="572" t="s">
        <v>198</v>
      </c>
      <c r="J17" s="572"/>
      <c r="K17" s="572"/>
      <c r="L17" s="572"/>
      <c r="M17" s="629">
        <v>65</v>
      </c>
      <c r="N17" s="629"/>
      <c r="O17" s="629"/>
      <c r="P17" s="629"/>
    </row>
    <row r="18" spans="2:16" ht="20.100000000000001" customHeight="1" x14ac:dyDescent="0.25">
      <c r="B18" s="13" t="s">
        <v>386</v>
      </c>
      <c r="C18" s="1"/>
      <c r="E18" s="580" t="s">
        <v>192</v>
      </c>
      <c r="F18" s="580"/>
      <c r="G18" s="58">
        <v>0.03</v>
      </c>
      <c r="H18" s="223"/>
      <c r="I18" s="631" t="s">
        <v>70</v>
      </c>
      <c r="J18" s="621" t="s">
        <v>311</v>
      </c>
      <c r="K18" s="621" t="s">
        <v>312</v>
      </c>
      <c r="L18" s="630" t="s">
        <v>126</v>
      </c>
      <c r="M18" s="630" t="s">
        <v>72</v>
      </c>
      <c r="N18" s="621" t="s">
        <v>199</v>
      </c>
      <c r="O18" s="621" t="s">
        <v>76</v>
      </c>
      <c r="P18" s="621" t="s">
        <v>200</v>
      </c>
    </row>
    <row r="19" spans="2:16" ht="20.100000000000001" customHeight="1" x14ac:dyDescent="0.25">
      <c r="B19" s="281" t="s">
        <v>175</v>
      </c>
      <c r="C19" s="3"/>
      <c r="E19" s="580" t="s">
        <v>66</v>
      </c>
      <c r="F19" s="580"/>
      <c r="G19" s="59">
        <v>4000</v>
      </c>
      <c r="H19" s="224"/>
      <c r="I19" s="572"/>
      <c r="J19" s="622"/>
      <c r="K19" s="622"/>
      <c r="L19" s="631"/>
      <c r="M19" s="631"/>
      <c r="N19" s="622"/>
      <c r="O19" s="622"/>
      <c r="P19" s="622"/>
    </row>
    <row r="20" spans="2:16" ht="20.100000000000001" customHeight="1" x14ac:dyDescent="0.25">
      <c r="B20" s="282" t="s">
        <v>73</v>
      </c>
      <c r="C20" s="25"/>
      <c r="E20" s="580" t="s">
        <v>193</v>
      </c>
      <c r="F20" s="580"/>
      <c r="G20" s="60">
        <v>1</v>
      </c>
      <c r="H20" s="225"/>
      <c r="I20" s="29">
        <v>1</v>
      </c>
      <c r="J20" s="84">
        <v>0.10199999999999999</v>
      </c>
      <c r="K20" s="84">
        <v>0</v>
      </c>
      <c r="L20" s="88">
        <v>4000</v>
      </c>
      <c r="M20" s="85" t="s">
        <v>187</v>
      </c>
      <c r="N20" s="86">
        <v>0.03</v>
      </c>
      <c r="O20" s="86" t="s">
        <v>187</v>
      </c>
      <c r="P20" s="86">
        <v>0.08</v>
      </c>
    </row>
    <row r="21" spans="2:16" ht="20.100000000000001" customHeight="1" x14ac:dyDescent="0.25">
      <c r="B21" s="13" t="s">
        <v>74</v>
      </c>
      <c r="C21" s="25"/>
      <c r="E21" s="580" t="s">
        <v>195</v>
      </c>
      <c r="F21" s="580"/>
      <c r="G21" s="288" t="s">
        <v>187</v>
      </c>
      <c r="H21" s="226"/>
      <c r="I21" s="294">
        <v>2</v>
      </c>
      <c r="J21" s="84">
        <v>0.2</v>
      </c>
      <c r="K21" s="84">
        <v>0</v>
      </c>
      <c r="L21" s="88">
        <v>1500</v>
      </c>
      <c r="M21" s="85" t="s">
        <v>187</v>
      </c>
      <c r="N21" s="86">
        <v>0.03</v>
      </c>
      <c r="O21" s="86" t="s">
        <v>186</v>
      </c>
      <c r="P21" s="86">
        <v>0.08</v>
      </c>
    </row>
    <row r="22" spans="2:16" x14ac:dyDescent="0.25">
      <c r="I22" s="128">
        <v>3</v>
      </c>
      <c r="J22" s="84">
        <v>0.123</v>
      </c>
      <c r="K22" s="84">
        <v>0</v>
      </c>
      <c r="L22" s="88">
        <v>1700</v>
      </c>
      <c r="M22" s="85" t="s">
        <v>187</v>
      </c>
      <c r="N22" s="127">
        <v>3.5000000000000003E-2</v>
      </c>
      <c r="O22" s="127" t="s">
        <v>186</v>
      </c>
      <c r="P22" s="127">
        <v>0.08</v>
      </c>
    </row>
    <row r="23" spans="2:16" x14ac:dyDescent="0.25">
      <c r="B23" s="615" t="s">
        <v>318</v>
      </c>
      <c r="C23" s="615"/>
      <c r="E23" s="565" t="s">
        <v>321</v>
      </c>
      <c r="F23" s="565"/>
      <c r="G23" s="565"/>
      <c r="I23" s="87">
        <v>4</v>
      </c>
      <c r="J23" s="84">
        <v>0.08</v>
      </c>
      <c r="K23" s="84">
        <v>0</v>
      </c>
      <c r="L23" s="88">
        <v>1200</v>
      </c>
      <c r="M23" s="85" t="s">
        <v>187</v>
      </c>
      <c r="N23" s="86">
        <v>0.05</v>
      </c>
      <c r="O23" s="86" t="s">
        <v>186</v>
      </c>
      <c r="P23" s="86">
        <v>0.08</v>
      </c>
    </row>
    <row r="24" spans="2:16" ht="20.100000000000001" customHeight="1" x14ac:dyDescent="0.25">
      <c r="B24" s="616" t="s">
        <v>320</v>
      </c>
      <c r="C24" s="616"/>
      <c r="E24" s="572" t="s">
        <v>322</v>
      </c>
      <c r="F24" s="572"/>
      <c r="G24" s="355">
        <v>3</v>
      </c>
      <c r="I24" s="29">
        <v>5</v>
      </c>
      <c r="J24" s="84"/>
      <c r="K24" s="84"/>
      <c r="L24" s="88"/>
      <c r="M24" s="85" t="s">
        <v>187</v>
      </c>
      <c r="N24" s="86"/>
      <c r="O24" s="86" t="s">
        <v>187</v>
      </c>
      <c r="P24" s="86"/>
    </row>
    <row r="25" spans="2:16" ht="20.100000000000001" customHeight="1" x14ac:dyDescent="0.25">
      <c r="B25" s="220" t="s">
        <v>186</v>
      </c>
      <c r="C25" s="219" t="s">
        <v>187</v>
      </c>
      <c r="E25" s="572" t="s">
        <v>323</v>
      </c>
      <c r="F25" s="572"/>
      <c r="G25" s="355">
        <v>0</v>
      </c>
      <c r="I25" s="29">
        <v>6</v>
      </c>
      <c r="J25" s="84"/>
      <c r="K25" s="84"/>
      <c r="L25" s="88"/>
      <c r="M25" s="85" t="s">
        <v>187</v>
      </c>
      <c r="N25" s="86"/>
      <c r="O25" s="86" t="s">
        <v>187</v>
      </c>
      <c r="P25" s="86"/>
    </row>
    <row r="26" spans="2:16" ht="20.100000000000001" customHeight="1" x14ac:dyDescent="0.25">
      <c r="B26" s="290"/>
      <c r="C26" s="290"/>
      <c r="E26" s="572" t="s">
        <v>324</v>
      </c>
      <c r="F26" s="572"/>
      <c r="G26" s="355">
        <v>0</v>
      </c>
      <c r="I26" s="29">
        <v>7</v>
      </c>
      <c r="J26" s="84"/>
      <c r="K26" s="84"/>
      <c r="L26" s="88"/>
      <c r="M26" s="85" t="s">
        <v>187</v>
      </c>
      <c r="N26" s="86"/>
      <c r="O26" s="86" t="s">
        <v>187</v>
      </c>
      <c r="P26" s="86"/>
    </row>
    <row r="27" spans="2:16" ht="15" customHeight="1" x14ac:dyDescent="0.25">
      <c r="I27" s="29">
        <v>8</v>
      </c>
      <c r="J27" s="84"/>
      <c r="K27" s="84"/>
      <c r="L27" s="88"/>
      <c r="M27" s="85" t="s">
        <v>187</v>
      </c>
      <c r="N27" s="86"/>
      <c r="O27" s="86" t="s">
        <v>187</v>
      </c>
      <c r="P27" s="86"/>
    </row>
    <row r="28" spans="2:16" ht="15" customHeight="1" x14ac:dyDescent="0.25">
      <c r="B28" s="634" t="s">
        <v>332</v>
      </c>
      <c r="C28" s="707" t="s">
        <v>76</v>
      </c>
      <c r="D28" s="640" t="s">
        <v>314</v>
      </c>
      <c r="E28" s="641"/>
      <c r="F28" s="577" t="s">
        <v>167</v>
      </c>
      <c r="I28" s="29">
        <v>9</v>
      </c>
      <c r="J28" s="84"/>
      <c r="K28" s="84"/>
      <c r="L28" s="88"/>
      <c r="M28" s="85" t="s">
        <v>187</v>
      </c>
      <c r="N28" s="86"/>
      <c r="O28" s="86" t="s">
        <v>187</v>
      </c>
      <c r="P28" s="86"/>
    </row>
    <row r="29" spans="2:16" ht="24.95" customHeight="1" x14ac:dyDescent="0.25">
      <c r="B29" s="635"/>
      <c r="C29" s="707"/>
      <c r="D29" s="642"/>
      <c r="E29" s="643"/>
      <c r="F29" s="577"/>
      <c r="I29" s="29">
        <v>10</v>
      </c>
      <c r="J29" s="84"/>
      <c r="K29" s="84"/>
      <c r="L29" s="88"/>
      <c r="M29" s="85" t="s">
        <v>187</v>
      </c>
      <c r="N29" s="86"/>
      <c r="O29" s="86" t="s">
        <v>187</v>
      </c>
      <c r="P29" s="86"/>
    </row>
    <row r="30" spans="2:16" ht="30" customHeight="1" x14ac:dyDescent="0.25">
      <c r="B30" s="13" t="s">
        <v>176</v>
      </c>
      <c r="C30" s="27"/>
      <c r="D30" s="636"/>
      <c r="E30" s="637"/>
      <c r="F30" s="373" t="str">
        <f>IF('R4UD_Ref'!J7=TRUE,IF('R4UD_Ref'!L7&lt;&gt;"",'R4UD_Ref'!L7,"SELECT VALUE"),"Retain Lane Width")</f>
        <v>Retain Lane Width</v>
      </c>
    </row>
    <row r="31" spans="2:16" ht="30" customHeight="1" x14ac:dyDescent="0.25">
      <c r="B31" s="13" t="s">
        <v>385</v>
      </c>
      <c r="C31" s="27"/>
      <c r="D31" s="636"/>
      <c r="E31" s="637"/>
      <c r="F31" s="285" t="str">
        <f>IF('R4UD_Ref'!J8=TRUE,IF('R4UD_Ref'!L8&lt;&gt;"",'R4UD_Ref'!L8,"SELECT VALUE"),"Retain Shoulder Width")</f>
        <v>Retain Shoulder Width</v>
      </c>
    </row>
    <row r="32" spans="2:16" ht="30" customHeight="1" x14ac:dyDescent="0.25">
      <c r="B32" s="13" t="s">
        <v>386</v>
      </c>
      <c r="C32" s="27"/>
      <c r="D32" s="636"/>
      <c r="E32" s="637"/>
      <c r="F32" s="285" t="str">
        <f>IF('R4UD_Ref'!F92=1,"Paved Shoulder",IF('R4UD_Ref'!J9=TRUE,CONCATENATE('R4UD_Ref'!I92," Shoulder"),"Unpaved Shoulder"))</f>
        <v>Paved Shoulder</v>
      </c>
    </row>
    <row r="33" spans="2:14" ht="30" customHeight="1" x14ac:dyDescent="0.25">
      <c r="B33" s="13" t="s">
        <v>175</v>
      </c>
      <c r="C33" s="27"/>
      <c r="D33" s="638"/>
      <c r="E33" s="639"/>
      <c r="F33" s="381" t="str">
        <f>IF('R4UD_Ref'!J10=TRUE,IF('R4UD_Ref'!L10&lt;&gt;0,'R4UD_Ref'!L10,"SELECT VALUE"),"Retain Roadside Slope")</f>
        <v>Retain Roadside Slope</v>
      </c>
    </row>
    <row r="34" spans="2:14" ht="30" customHeight="1" x14ac:dyDescent="0.25">
      <c r="B34" s="13" t="s">
        <v>73</v>
      </c>
      <c r="C34" s="27"/>
      <c r="D34" s="632"/>
      <c r="E34" s="633"/>
      <c r="F34" s="382" t="str">
        <f>IF('R4UD_Ref'!D124=1,IF('R4UD_Ref'!C111=1,"Retain Centerline Rumble Strip",IF('R4UD_Ref'!J11=TRUE,"Install","Not Selected")),"Not Applicable")</f>
        <v>Not Selected</v>
      </c>
    </row>
    <row r="35" spans="2:14" ht="30" customHeight="1" x14ac:dyDescent="0.25">
      <c r="B35" s="13" t="s">
        <v>74</v>
      </c>
      <c r="C35" s="27"/>
      <c r="D35" s="632"/>
      <c r="E35" s="633"/>
      <c r="F35" s="382" t="str">
        <f>IF('R4UD_Ref'!C114=1,"Retain Shoulder Rumble Strip",IF('R4UD_Ref'!J12=TRUE,"Install","Not Selected"))</f>
        <v>Not Selected</v>
      </c>
      <c r="H35" s="565" t="s">
        <v>316</v>
      </c>
      <c r="I35" s="565"/>
      <c r="J35" s="565"/>
      <c r="K35" s="565"/>
      <c r="L35" s="565"/>
      <c r="M35" s="565"/>
    </row>
    <row r="36" spans="2:14" ht="30" customHeight="1" x14ac:dyDescent="0.25">
      <c r="B36" s="13" t="s">
        <v>315</v>
      </c>
      <c r="C36" s="27"/>
      <c r="D36" s="632"/>
      <c r="E36" s="633"/>
      <c r="F36" s="383" t="str">
        <f>IF('R4UD_Ref'!J13=TRUE,"Improve","Not Selected")</f>
        <v>Not Selected</v>
      </c>
      <c r="H36" s="571" t="s">
        <v>260</v>
      </c>
      <c r="I36" s="571"/>
      <c r="J36" s="571"/>
      <c r="K36" s="571"/>
      <c r="L36" s="719">
        <v>0</v>
      </c>
      <c r="M36" s="719"/>
    </row>
    <row r="37" spans="2:14" ht="20.100000000000001" customHeight="1" x14ac:dyDescent="0.25">
      <c r="B37" s="131"/>
      <c r="C37" s="118"/>
      <c r="D37" s="118"/>
      <c r="E37" s="118"/>
      <c r="F37" s="118"/>
      <c r="H37" s="700"/>
      <c r="I37" s="717"/>
      <c r="J37" s="717"/>
      <c r="K37" s="701"/>
      <c r="L37" s="708"/>
      <c r="M37" s="709"/>
      <c r="N37" s="376"/>
    </row>
    <row r="38" spans="2:14" ht="15" customHeight="1" x14ac:dyDescent="0.25">
      <c r="B38" s="565" t="s">
        <v>727</v>
      </c>
      <c r="C38" s="565"/>
      <c r="D38" s="7"/>
      <c r="E38" s="7"/>
      <c r="F38" s="7"/>
      <c r="H38" s="602"/>
      <c r="I38" s="718"/>
      <c r="J38" s="718"/>
      <c r="K38" s="603"/>
      <c r="L38" s="710"/>
      <c r="M38" s="711"/>
      <c r="N38" s="376"/>
    </row>
    <row r="39" spans="2:14" ht="30" customHeight="1" x14ac:dyDescent="0.25">
      <c r="B39" s="13"/>
      <c r="C39" s="528">
        <f>'R4UD_Calculations'!H28</f>
        <v>0</v>
      </c>
      <c r="D39" s="7"/>
      <c r="E39" s="7"/>
      <c r="F39" s="7"/>
      <c r="G39" s="376"/>
      <c r="H39" s="714"/>
      <c r="I39" s="715"/>
      <c r="J39" s="715"/>
      <c r="K39" s="716"/>
      <c r="L39" s="712"/>
      <c r="M39" s="713"/>
      <c r="N39" s="376"/>
    </row>
    <row r="40" spans="2:14" x14ac:dyDescent="0.25">
      <c r="B40" s="7"/>
      <c r="C40" s="129"/>
      <c r="D40" s="7"/>
      <c r="E40" s="7"/>
      <c r="F40" s="7"/>
      <c r="H40" s="376"/>
      <c r="K40" s="376"/>
      <c r="L40" s="376"/>
      <c r="M40" s="376"/>
    </row>
    <row r="41" spans="2:14" x14ac:dyDescent="0.25">
      <c r="B41" s="7"/>
      <c r="C41" s="129"/>
      <c r="D41" s="7"/>
      <c r="E41" s="7"/>
      <c r="F41" s="7"/>
    </row>
    <row r="42" spans="2:14" x14ac:dyDescent="0.25">
      <c r="B42" s="7"/>
      <c r="C42" s="130"/>
      <c r="D42" s="7"/>
      <c r="E42" s="7"/>
      <c r="F42" s="7"/>
    </row>
    <row r="43" spans="2:14" x14ac:dyDescent="0.25">
      <c r="B43" s="7"/>
      <c r="C43" s="130"/>
      <c r="D43" s="7"/>
      <c r="E43" s="7"/>
      <c r="F43" s="7"/>
    </row>
    <row r="44" spans="2:14" x14ac:dyDescent="0.25">
      <c r="B44" s="7"/>
      <c r="C44" s="130"/>
      <c r="D44" s="7"/>
      <c r="E44" s="7"/>
      <c r="F44" s="7"/>
    </row>
    <row r="45" spans="2:14" x14ac:dyDescent="0.25">
      <c r="B45" s="7"/>
      <c r="C45" s="130"/>
      <c r="D45" s="7"/>
      <c r="E45" s="7"/>
      <c r="F45" s="7"/>
    </row>
    <row r="46" spans="2:14" x14ac:dyDescent="0.25">
      <c r="B46" s="7"/>
      <c r="C46" s="130"/>
      <c r="D46" s="7"/>
      <c r="E46" s="7"/>
      <c r="F46" s="7"/>
    </row>
    <row r="47" spans="2:14" x14ac:dyDescent="0.25">
      <c r="B47" s="7"/>
      <c r="C47" s="130"/>
      <c r="D47" s="7"/>
      <c r="E47" s="7"/>
      <c r="F47" s="7"/>
    </row>
    <row r="58" spans="2:3" x14ac:dyDescent="0.25">
      <c r="B58" t="s">
        <v>339</v>
      </c>
      <c r="C58">
        <f>'R4UD_Ref'!D124</f>
        <v>1</v>
      </c>
    </row>
    <row r="59" spans="2:3" x14ac:dyDescent="0.25">
      <c r="B59" t="s">
        <v>333</v>
      </c>
      <c r="C59">
        <f>'R4UD_Ref'!C7</f>
        <v>2</v>
      </c>
    </row>
    <row r="60" spans="2:3" x14ac:dyDescent="0.25">
      <c r="B60" t="s">
        <v>319</v>
      </c>
      <c r="C60">
        <f>'R4UD_Ref'!C19</f>
        <v>2</v>
      </c>
    </row>
    <row r="61" spans="2:3" x14ac:dyDescent="0.25">
      <c r="B61" t="s">
        <v>374</v>
      </c>
      <c r="C61" t="b">
        <f>'R4UD_Ref'!J13</f>
        <v>0</v>
      </c>
    </row>
    <row r="62" spans="2:3" x14ac:dyDescent="0.25">
      <c r="C62" t="s">
        <v>186</v>
      </c>
    </row>
    <row r="63" spans="2:3" x14ac:dyDescent="0.25">
      <c r="C63" t="s">
        <v>187</v>
      </c>
    </row>
    <row r="66" spans="2:3" x14ac:dyDescent="0.25">
      <c r="B66" t="s">
        <v>414</v>
      </c>
      <c r="C66" t="str">
        <f>'R4UD_Ref'!G92</f>
        <v>Paved</v>
      </c>
    </row>
    <row r="67" spans="2:3" x14ac:dyDescent="0.25">
      <c r="B67" t="s">
        <v>734</v>
      </c>
      <c r="C67" t="b">
        <v>0</v>
      </c>
    </row>
  </sheetData>
  <mergeCells count="80">
    <mergeCell ref="D31:E31"/>
    <mergeCell ref="D32:E32"/>
    <mergeCell ref="D33:E33"/>
    <mergeCell ref="N8:O8"/>
    <mergeCell ref="N3:O3"/>
    <mergeCell ref="N4:O4"/>
    <mergeCell ref="N5:O5"/>
    <mergeCell ref="N6:O6"/>
    <mergeCell ref="N7:O7"/>
    <mergeCell ref="I3:J4"/>
    <mergeCell ref="G5:H5"/>
    <mergeCell ref="G8:H8"/>
    <mergeCell ref="G3:H4"/>
    <mergeCell ref="I5:J5"/>
    <mergeCell ref="J8:K8"/>
    <mergeCell ref="K3:L4"/>
    <mergeCell ref="L37:M37"/>
    <mergeCell ref="L38:M38"/>
    <mergeCell ref="O18:O19"/>
    <mergeCell ref="L39:M39"/>
    <mergeCell ref="H39:K39"/>
    <mergeCell ref="H37:K37"/>
    <mergeCell ref="H38:K38"/>
    <mergeCell ref="H35:M35"/>
    <mergeCell ref="H36:K36"/>
    <mergeCell ref="L36:M36"/>
    <mergeCell ref="M18:M19"/>
    <mergeCell ref="N18:N19"/>
    <mergeCell ref="J18:J19"/>
    <mergeCell ref="K18:K19"/>
    <mergeCell ref="B1:H1"/>
    <mergeCell ref="C28:C29"/>
    <mergeCell ref="F28:F29"/>
    <mergeCell ref="B14:C14"/>
    <mergeCell ref="E19:F19"/>
    <mergeCell ref="E20:F20"/>
    <mergeCell ref="E21:F21"/>
    <mergeCell ref="E17:G17"/>
    <mergeCell ref="B3:C3"/>
    <mergeCell ref="E3:F4"/>
    <mergeCell ref="E5:F5"/>
    <mergeCell ref="E8:F8"/>
    <mergeCell ref="E7:F7"/>
    <mergeCell ref="K5:L5"/>
    <mergeCell ref="J7:K7"/>
    <mergeCell ref="G7:H7"/>
    <mergeCell ref="J9:K9"/>
    <mergeCell ref="E10:F10"/>
    <mergeCell ref="G10:H10"/>
    <mergeCell ref="J10:K10"/>
    <mergeCell ref="I14:P14"/>
    <mergeCell ref="E13:F13"/>
    <mergeCell ref="E9:F9"/>
    <mergeCell ref="G9:H9"/>
    <mergeCell ref="E14:F14"/>
    <mergeCell ref="I15:L15"/>
    <mergeCell ref="I16:L16"/>
    <mergeCell ref="I17:L17"/>
    <mergeCell ref="L18:L19"/>
    <mergeCell ref="M15:P15"/>
    <mergeCell ref="M16:P16"/>
    <mergeCell ref="M17:P17"/>
    <mergeCell ref="P18:P19"/>
    <mergeCell ref="I18:I19"/>
    <mergeCell ref="B38:C38"/>
    <mergeCell ref="B15:C15"/>
    <mergeCell ref="B28:B29"/>
    <mergeCell ref="E26:F26"/>
    <mergeCell ref="B23:C23"/>
    <mergeCell ref="B24:C24"/>
    <mergeCell ref="E23:G23"/>
    <mergeCell ref="E24:F24"/>
    <mergeCell ref="E25:F25"/>
    <mergeCell ref="D28:E29"/>
    <mergeCell ref="E18:F18"/>
    <mergeCell ref="E15:F15"/>
    <mergeCell ref="D34:E34"/>
    <mergeCell ref="D35:E35"/>
    <mergeCell ref="D36:E36"/>
    <mergeCell ref="D30:E30"/>
  </mergeCells>
  <conditionalFormatting sqref="B41:F41 I23:O23">
    <cfRule type="expression" dxfId="533" priority="71">
      <formula>$M$15&lt;4</formula>
    </cfRule>
  </conditionalFormatting>
  <conditionalFormatting sqref="B40:F40 I22:O22">
    <cfRule type="expression" dxfId="532" priority="54">
      <formula>$M$15&lt;3</formula>
    </cfRule>
  </conditionalFormatting>
  <conditionalFormatting sqref="D39:F39 I21:O21">
    <cfRule type="expression" dxfId="531" priority="69">
      <formula>$M$15&lt;2</formula>
    </cfRule>
  </conditionalFormatting>
  <conditionalFormatting sqref="D38:F38 B37 I20:O20">
    <cfRule type="expression" dxfId="530" priority="68">
      <formula>$M$15&lt;1</formula>
    </cfRule>
  </conditionalFormatting>
  <conditionalFormatting sqref="B42:F42 I24:O24">
    <cfRule type="expression" dxfId="529" priority="74">
      <formula>$M$15&lt;5</formula>
    </cfRule>
  </conditionalFormatting>
  <conditionalFormatting sqref="B43:F43 I25:O25">
    <cfRule type="expression" dxfId="528" priority="65">
      <formula>$M$15&lt;6</formula>
    </cfRule>
  </conditionalFormatting>
  <conditionalFormatting sqref="B44:F44 I26:O26">
    <cfRule type="expression" dxfId="527" priority="63">
      <formula>$M$15&lt;7</formula>
    </cfRule>
  </conditionalFormatting>
  <conditionalFormatting sqref="B45:F45 I27:O27">
    <cfRule type="expression" dxfId="526" priority="61">
      <formula>$M$15&lt;8</formula>
    </cfRule>
  </conditionalFormatting>
  <conditionalFormatting sqref="B46:F46 I28:O28">
    <cfRule type="expression" dxfId="525" priority="59">
      <formula>$M$15&lt;9</formula>
    </cfRule>
  </conditionalFormatting>
  <conditionalFormatting sqref="B47:F47 I29:O29">
    <cfRule type="expression" dxfId="524" priority="57">
      <formula>$M$15&lt;10</formula>
    </cfRule>
  </conditionalFormatting>
  <conditionalFormatting sqref="B37:F37 I20:O20">
    <cfRule type="expression" dxfId="523" priority="52">
      <formula>$M$15=0</formula>
    </cfRule>
  </conditionalFormatting>
  <conditionalFormatting sqref="P23">
    <cfRule type="expression" dxfId="522" priority="31">
      <formula>$M$15&lt;4</formula>
    </cfRule>
    <cfRule type="expression" dxfId="521" priority="45">
      <formula>$O$23="No"</formula>
    </cfRule>
  </conditionalFormatting>
  <conditionalFormatting sqref="P22">
    <cfRule type="expression" dxfId="520" priority="29">
      <formula>$M$15&lt;3</formula>
    </cfRule>
    <cfRule type="expression" dxfId="519" priority="30">
      <formula>$O$22="No"</formula>
    </cfRule>
  </conditionalFormatting>
  <conditionalFormatting sqref="P21">
    <cfRule type="expression" dxfId="518" priority="43">
      <formula>$M$15&lt;2</formula>
    </cfRule>
    <cfRule type="expression" dxfId="517" priority="44">
      <formula>$O$21="No"</formula>
    </cfRule>
  </conditionalFormatting>
  <conditionalFormatting sqref="P20">
    <cfRule type="expression" dxfId="516" priority="28">
      <formula>$M$15&lt;1</formula>
    </cfRule>
    <cfRule type="expression" dxfId="515" priority="46">
      <formula>$O$20="No"</formula>
    </cfRule>
  </conditionalFormatting>
  <conditionalFormatting sqref="P24">
    <cfRule type="expression" dxfId="514" priority="42">
      <formula>$M$15&lt;5</formula>
    </cfRule>
    <cfRule type="expression" dxfId="513" priority="47">
      <formula>$O$24="No"</formula>
    </cfRule>
  </conditionalFormatting>
  <conditionalFormatting sqref="P25">
    <cfRule type="expression" dxfId="512" priority="40">
      <formula>$M$15&lt;6</formula>
    </cfRule>
    <cfRule type="expression" dxfId="511" priority="41">
      <formula>$O$25="No"</formula>
    </cfRule>
  </conditionalFormatting>
  <conditionalFormatting sqref="P26">
    <cfRule type="expression" dxfId="510" priority="38">
      <formula>$M$15&lt;7</formula>
    </cfRule>
    <cfRule type="expression" dxfId="509" priority="39">
      <formula>$O$26="No"</formula>
    </cfRule>
  </conditionalFormatting>
  <conditionalFormatting sqref="P27">
    <cfRule type="expression" dxfId="508" priority="36">
      <formula>$M$15&lt;8</formula>
    </cfRule>
    <cfRule type="expression" dxfId="507" priority="37">
      <formula>$O$27="No"</formula>
    </cfRule>
  </conditionalFormatting>
  <conditionalFormatting sqref="P28">
    <cfRule type="expression" dxfId="506" priority="34">
      <formula>$M$15&lt;9</formula>
    </cfRule>
    <cfRule type="expression" dxfId="505" priority="35">
      <formula>$O$28="No"</formula>
    </cfRule>
  </conditionalFormatting>
  <conditionalFormatting sqref="P29">
    <cfRule type="expression" dxfId="504" priority="32">
      <formula>$M$15&lt;10</formula>
    </cfRule>
    <cfRule type="expression" dxfId="503" priority="33">
      <formula>$O$29="No"</formula>
    </cfRule>
  </conditionalFormatting>
  <conditionalFormatting sqref="P20">
    <cfRule type="expression" dxfId="502" priority="26">
      <formula>$M$15=0</formula>
    </cfRule>
  </conditionalFormatting>
  <conditionalFormatting sqref="I23:P23">
    <cfRule type="expression" dxfId="501" priority="55">
      <formula>AND($M$15=3,$C$59=2)</formula>
    </cfRule>
  </conditionalFormatting>
  <conditionalFormatting sqref="I22:P22">
    <cfRule type="expression" dxfId="500" priority="51">
      <formula>AND($M$15=2,$C$59=2)</formula>
    </cfRule>
  </conditionalFormatting>
  <conditionalFormatting sqref="I21:P21">
    <cfRule type="expression" dxfId="499" priority="53">
      <formula>AND($M$15=1,$C$59=2)</formula>
    </cfRule>
  </conditionalFormatting>
  <conditionalFormatting sqref="I24:P24">
    <cfRule type="expression" dxfId="498" priority="66">
      <formula>AND($M$15=4,$C$59=2)</formula>
    </cfRule>
  </conditionalFormatting>
  <conditionalFormatting sqref="I25:P25">
    <cfRule type="expression" dxfId="497" priority="64">
      <formula>AND($M$15=5,$C$59=2)</formula>
    </cfRule>
  </conditionalFormatting>
  <conditionalFormatting sqref="I26:P26">
    <cfRule type="expression" dxfId="496" priority="62">
      <formula>AND($M$15=6,$C$59=2)</formula>
    </cfRule>
  </conditionalFormatting>
  <conditionalFormatting sqref="I27:P27">
    <cfRule type="expression" dxfId="495" priority="60">
      <formula>AND($M$15=7,$C$59=2)</formula>
    </cfRule>
  </conditionalFormatting>
  <conditionalFormatting sqref="I28:P28">
    <cfRule type="expression" dxfId="494" priority="58">
      <formula>AND($M$15=8,$C$59=2)</formula>
    </cfRule>
  </conditionalFormatting>
  <conditionalFormatting sqref="I29:P29">
    <cfRule type="expression" dxfId="493" priority="56">
      <formula>AND($M$15=9,$C$59=2)</formula>
    </cfRule>
  </conditionalFormatting>
  <conditionalFormatting sqref="E17:G21">
    <cfRule type="expression" dxfId="492" priority="73">
      <formula>$C$59=1</formula>
    </cfRule>
    <cfRule type="expression" dxfId="491" priority="75">
      <formula>$C$59=2</formula>
    </cfRule>
  </conditionalFormatting>
  <conditionalFormatting sqref="I20:O29">
    <cfRule type="expression" dxfId="490" priority="72">
      <formula>$C$59=1</formula>
    </cfRule>
  </conditionalFormatting>
  <conditionalFormatting sqref="I20:I22">
    <cfRule type="expression" dxfId="489" priority="70">
      <formula>$C$59=2</formula>
    </cfRule>
  </conditionalFormatting>
  <conditionalFormatting sqref="P20:P29">
    <cfRule type="expression" dxfId="488" priority="17">
      <formula>$C$59=1</formula>
    </cfRule>
  </conditionalFormatting>
  <conditionalFormatting sqref="E23:G26">
    <cfRule type="expression" dxfId="487" priority="16">
      <formula>$C$60=2</formula>
    </cfRule>
  </conditionalFormatting>
  <conditionalFormatting sqref="I14:P19">
    <cfRule type="expression" dxfId="486" priority="15">
      <formula>$C$59=1</formula>
    </cfRule>
  </conditionalFormatting>
  <conditionalFormatting sqref="H35:M39">
    <cfRule type="expression" dxfId="485" priority="48">
      <formula>$C$61=FALSE</formula>
    </cfRule>
  </conditionalFormatting>
  <conditionalFormatting sqref="F30">
    <cfRule type="expression" dxfId="484" priority="12">
      <formula>AND($F$30&gt;9,$F$30&lt;13)</formula>
    </cfRule>
    <cfRule type="expression" dxfId="483" priority="13">
      <formula>$F$30="Retain Lane Width"</formula>
    </cfRule>
    <cfRule type="expression" dxfId="482" priority="14">
      <formula>$F$30="SELECT VALUE"</formula>
    </cfRule>
  </conditionalFormatting>
  <conditionalFormatting sqref="F31">
    <cfRule type="expression" dxfId="481" priority="9">
      <formula>$F$31="Retain Shoulder Width"</formula>
    </cfRule>
    <cfRule type="expression" dxfId="480" priority="10">
      <formula>$F$31="SELECT VALUE"</formula>
    </cfRule>
    <cfRule type="expression" dxfId="479" priority="11">
      <formula>AND($F$31&gt;0,$F$31&lt;10)</formula>
    </cfRule>
  </conditionalFormatting>
  <conditionalFormatting sqref="F32">
    <cfRule type="expression" dxfId="478" priority="6">
      <formula>$C$66="Paved"</formula>
    </cfRule>
    <cfRule type="expression" dxfId="477" priority="7">
      <formula>AND($C$66="Unpaved",$F$32="Paved Shoulder")</formula>
    </cfRule>
    <cfRule type="expression" dxfId="476" priority="8">
      <formula>AND($C$66="Unpaved",$F$32="Unpaved Shoulder")</formula>
    </cfRule>
  </conditionalFormatting>
  <conditionalFormatting sqref="F33">
    <cfRule type="expression" dxfId="475" priority="4">
      <formula>$F$33="SELECT VALUE"</formula>
    </cfRule>
    <cfRule type="expression" dxfId="474" priority="5">
      <formula>$F$33="Retain Roadside Slope"</formula>
    </cfRule>
  </conditionalFormatting>
  <conditionalFormatting sqref="F34">
    <cfRule type="expression" dxfId="473" priority="3">
      <formula>$F$34="Install"</formula>
    </cfRule>
  </conditionalFormatting>
  <conditionalFormatting sqref="F35">
    <cfRule type="expression" dxfId="472" priority="2">
      <formula>$F$35="Install"</formula>
    </cfRule>
  </conditionalFormatting>
  <conditionalFormatting sqref="F36">
    <cfRule type="expression" dxfId="471" priority="1">
      <formula>$F$36="Improve"</formula>
    </cfRule>
  </conditionalFormatting>
  <dataValidations count="14">
    <dataValidation type="list" allowBlank="1" showInputMessage="1" showErrorMessage="1" sqref="O20:O29 M20:M29" xr:uid="{00000000-0002-0000-0500-000000000000}">
      <formula1>$C$62:$C$63</formula1>
    </dataValidation>
    <dataValidation type="list" allowBlank="1" showInputMessage="1" showErrorMessage="1" sqref="G21" xr:uid="{00000000-0002-0000-0500-000001000000}">
      <formula1>$C$111:$C$112</formula1>
    </dataValidation>
    <dataValidation allowBlank="1" showInputMessage="1" showErrorMessage="1" prompt="This length is the sum of both directions of travel where delineator posts are present" sqref="L36:M36" xr:uid="{00000000-0002-0000-0500-000002000000}"/>
    <dataValidation type="decimal" allowBlank="1" showInputMessage="1" showErrorMessage="1" sqref="P20" xr:uid="{00000000-0002-0000-0500-000003000000}">
      <formula1>0</formula1>
      <formula2>M16</formula2>
    </dataValidation>
    <dataValidation type="decimal" allowBlank="1" showInputMessage="1" showErrorMessage="1" sqref="P21" xr:uid="{00000000-0002-0000-0500-000004000000}">
      <formula1>0</formula1>
      <formula2>M16</formula2>
    </dataValidation>
    <dataValidation type="decimal" allowBlank="1" showInputMessage="1" showErrorMessage="1" sqref="P22" xr:uid="{00000000-0002-0000-0500-000005000000}">
      <formula1>0</formula1>
      <formula2>M16</formula2>
    </dataValidation>
    <dataValidation type="decimal" allowBlank="1" showInputMessage="1" showErrorMessage="1" sqref="P23" xr:uid="{00000000-0002-0000-0500-000006000000}">
      <formula1>0</formula1>
      <formula2>M16</formula2>
    </dataValidation>
    <dataValidation type="decimal" allowBlank="1" showInputMessage="1" showErrorMessage="1" sqref="P24" xr:uid="{00000000-0002-0000-0500-000007000000}">
      <formula1>0</formula1>
      <formula2>M16</formula2>
    </dataValidation>
    <dataValidation type="decimal" allowBlank="1" showInputMessage="1" showErrorMessage="1" sqref="P25" xr:uid="{00000000-0002-0000-0500-000008000000}">
      <formula1>0</formula1>
      <formula2>M16</formula2>
    </dataValidation>
    <dataValidation type="decimal" allowBlank="1" showInputMessage="1" showErrorMessage="1" sqref="P26" xr:uid="{00000000-0002-0000-0500-000009000000}">
      <formula1>0</formula1>
      <formula2>M16</formula2>
    </dataValidation>
    <dataValidation type="decimal" allowBlank="1" showInputMessage="1" showErrorMessage="1" sqref="P27" xr:uid="{00000000-0002-0000-0500-00000A000000}">
      <formula1>0</formula1>
      <formula2>M16</formula2>
    </dataValidation>
    <dataValidation type="decimal" allowBlank="1" showInputMessage="1" showErrorMessage="1" sqref="P28" xr:uid="{00000000-0002-0000-0500-00000B000000}">
      <formula1>0</formula1>
      <formula2>M16</formula2>
    </dataValidation>
    <dataValidation type="decimal" allowBlank="1" showInputMessage="1" showErrorMessage="1" sqref="P29" xr:uid="{00000000-0002-0000-0500-00000C000000}">
      <formula1>0</formula1>
      <formula2>M16</formula2>
    </dataValidation>
    <dataValidation type="whole" allowBlank="1" showInputMessage="1" showErrorMessage="1" prompt="Enter value 0 to 10" sqref="M15:P15" xr:uid="{00000000-0002-0000-0500-00000D000000}">
      <formula1>0</formula1>
      <formula2>10</formula2>
    </dataValidation>
  </dataValidations>
  <pageMargins left="0.7" right="0.7" top="0.75" bottom="0.75" header="0.3" footer="0.3"/>
  <pageSetup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rop Down 1">
              <controlPr defaultSize="0" autoLine="0" autoPict="0">
                <anchor moveWithCells="1">
                  <from>
                    <xdr:col>2</xdr:col>
                    <xdr:colOff>38100</xdr:colOff>
                    <xdr:row>6</xdr:row>
                    <xdr:rowOff>19050</xdr:rowOff>
                  </from>
                  <to>
                    <xdr:col>2</xdr:col>
                    <xdr:colOff>1200150</xdr:colOff>
                    <xdr:row>6</xdr:row>
                    <xdr:rowOff>228600</xdr:rowOff>
                  </to>
                </anchor>
              </controlPr>
            </control>
          </mc:Choice>
        </mc:AlternateContent>
        <mc:AlternateContent xmlns:mc="http://schemas.openxmlformats.org/markup-compatibility/2006">
          <mc:Choice Requires="x14">
            <control shapeId="10242" r:id="rId5" name="Drop Down 2">
              <controlPr defaultSize="0" autoLine="0" autoPict="0">
                <anchor moveWithCells="1">
                  <from>
                    <xdr:col>2</xdr:col>
                    <xdr:colOff>38100</xdr:colOff>
                    <xdr:row>7</xdr:row>
                    <xdr:rowOff>19050</xdr:rowOff>
                  </from>
                  <to>
                    <xdr:col>2</xdr:col>
                    <xdr:colOff>1200150</xdr:colOff>
                    <xdr:row>7</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485775</xdr:colOff>
                    <xdr:row>29</xdr:row>
                    <xdr:rowOff>38100</xdr:rowOff>
                  </from>
                  <to>
                    <xdr:col>2</xdr:col>
                    <xdr:colOff>790575</xdr:colOff>
                    <xdr:row>29</xdr:row>
                    <xdr:rowOff>314325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485775</xdr:colOff>
                    <xdr:row>30</xdr:row>
                    <xdr:rowOff>38100</xdr:rowOff>
                  </from>
                  <to>
                    <xdr:col>2</xdr:col>
                    <xdr:colOff>790575</xdr:colOff>
                    <xdr:row>30</xdr:row>
                    <xdr:rowOff>257175</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2</xdr:col>
                    <xdr:colOff>485775</xdr:colOff>
                    <xdr:row>33</xdr:row>
                    <xdr:rowOff>19050</xdr:rowOff>
                  </from>
                  <to>
                    <xdr:col>2</xdr:col>
                    <xdr:colOff>762000</xdr:colOff>
                    <xdr:row>33</xdr:row>
                    <xdr:rowOff>247650</xdr:rowOff>
                  </to>
                </anchor>
              </controlPr>
            </control>
          </mc:Choice>
        </mc:AlternateContent>
        <mc:AlternateContent xmlns:mc="http://schemas.openxmlformats.org/markup-compatibility/2006">
          <mc:Choice Requires="x14">
            <control shapeId="10249" r:id="rId9" name="Check Box 9">
              <controlPr defaultSize="0" autoFill="0" autoLine="0" autoPict="0">
                <anchor moveWithCells="1">
                  <from>
                    <xdr:col>2</xdr:col>
                    <xdr:colOff>485775</xdr:colOff>
                    <xdr:row>34</xdr:row>
                    <xdr:rowOff>28575</xdr:rowOff>
                  </from>
                  <to>
                    <xdr:col>2</xdr:col>
                    <xdr:colOff>695325</xdr:colOff>
                    <xdr:row>34</xdr:row>
                    <xdr:rowOff>247650</xdr:rowOff>
                  </to>
                </anchor>
              </controlPr>
            </control>
          </mc:Choice>
        </mc:AlternateContent>
        <mc:AlternateContent xmlns:mc="http://schemas.openxmlformats.org/markup-compatibility/2006">
          <mc:Choice Requires="x14">
            <control shapeId="10250" r:id="rId10" name="Check Box 10">
              <controlPr defaultSize="0" autoFill="0" autoLine="0" autoPict="0">
                <anchor moveWithCells="1">
                  <from>
                    <xdr:col>2</xdr:col>
                    <xdr:colOff>476250</xdr:colOff>
                    <xdr:row>35</xdr:row>
                    <xdr:rowOff>38100</xdr:rowOff>
                  </from>
                  <to>
                    <xdr:col>2</xdr:col>
                    <xdr:colOff>676275</xdr:colOff>
                    <xdr:row>35</xdr:row>
                    <xdr:rowOff>209550</xdr:rowOff>
                  </to>
                </anchor>
              </controlPr>
            </control>
          </mc:Choice>
        </mc:AlternateContent>
        <mc:AlternateContent xmlns:mc="http://schemas.openxmlformats.org/markup-compatibility/2006">
          <mc:Choice Requires="x14">
            <control shapeId="10251" r:id="rId11" name="Drop Down 11">
              <controlPr defaultSize="0" autoLine="0" autoPict="0">
                <anchor moveWithCells="1">
                  <from>
                    <xdr:col>2</xdr:col>
                    <xdr:colOff>38100</xdr:colOff>
                    <xdr:row>15</xdr:row>
                    <xdr:rowOff>28575</xdr:rowOff>
                  </from>
                  <to>
                    <xdr:col>2</xdr:col>
                    <xdr:colOff>1209675</xdr:colOff>
                    <xdr:row>15</xdr:row>
                    <xdr:rowOff>228600</xdr:rowOff>
                  </to>
                </anchor>
              </controlPr>
            </control>
          </mc:Choice>
        </mc:AlternateContent>
        <mc:AlternateContent xmlns:mc="http://schemas.openxmlformats.org/markup-compatibility/2006">
          <mc:Choice Requires="x14">
            <control shapeId="10252" r:id="rId12" name="Drop Down 12">
              <controlPr defaultSize="0" autoLine="0" autoPict="0">
                <anchor moveWithCells="1">
                  <from>
                    <xdr:col>2</xdr:col>
                    <xdr:colOff>38100</xdr:colOff>
                    <xdr:row>16</xdr:row>
                    <xdr:rowOff>28575</xdr:rowOff>
                  </from>
                  <to>
                    <xdr:col>2</xdr:col>
                    <xdr:colOff>1209675</xdr:colOff>
                    <xdr:row>16</xdr:row>
                    <xdr:rowOff>228600</xdr:rowOff>
                  </to>
                </anchor>
              </controlPr>
            </control>
          </mc:Choice>
        </mc:AlternateContent>
        <mc:AlternateContent xmlns:mc="http://schemas.openxmlformats.org/markup-compatibility/2006">
          <mc:Choice Requires="x14">
            <control shapeId="10253" r:id="rId13" name="Drop Down 13">
              <controlPr defaultSize="0" autoLine="0" autoPict="0">
                <anchor moveWithCells="1">
                  <from>
                    <xdr:col>2</xdr:col>
                    <xdr:colOff>38100</xdr:colOff>
                    <xdr:row>17</xdr:row>
                    <xdr:rowOff>28575</xdr:rowOff>
                  </from>
                  <to>
                    <xdr:col>2</xdr:col>
                    <xdr:colOff>1209675</xdr:colOff>
                    <xdr:row>17</xdr:row>
                    <xdr:rowOff>228600</xdr:rowOff>
                  </to>
                </anchor>
              </controlPr>
            </control>
          </mc:Choice>
        </mc:AlternateContent>
        <mc:AlternateContent xmlns:mc="http://schemas.openxmlformats.org/markup-compatibility/2006">
          <mc:Choice Requires="x14">
            <control shapeId="10254" r:id="rId14" name="Drop Down 14">
              <controlPr defaultSize="0" autoLine="0" autoPict="0">
                <anchor moveWithCells="1">
                  <from>
                    <xdr:col>2</xdr:col>
                    <xdr:colOff>38100</xdr:colOff>
                    <xdr:row>18</xdr:row>
                    <xdr:rowOff>28575</xdr:rowOff>
                  </from>
                  <to>
                    <xdr:col>2</xdr:col>
                    <xdr:colOff>1209675</xdr:colOff>
                    <xdr:row>18</xdr:row>
                    <xdr:rowOff>228600</xdr:rowOff>
                  </to>
                </anchor>
              </controlPr>
            </control>
          </mc:Choice>
        </mc:AlternateContent>
        <mc:AlternateContent xmlns:mc="http://schemas.openxmlformats.org/markup-compatibility/2006">
          <mc:Choice Requires="x14">
            <control shapeId="10255" r:id="rId15" name="Drop Down 15">
              <controlPr defaultSize="0" autoLine="0" autoPict="0">
                <anchor moveWithCells="1">
                  <from>
                    <xdr:col>2</xdr:col>
                    <xdr:colOff>38100</xdr:colOff>
                    <xdr:row>19</xdr:row>
                    <xdr:rowOff>28575</xdr:rowOff>
                  </from>
                  <to>
                    <xdr:col>2</xdr:col>
                    <xdr:colOff>1209675</xdr:colOff>
                    <xdr:row>19</xdr:row>
                    <xdr:rowOff>228600</xdr:rowOff>
                  </to>
                </anchor>
              </controlPr>
            </control>
          </mc:Choice>
        </mc:AlternateContent>
        <mc:AlternateContent xmlns:mc="http://schemas.openxmlformats.org/markup-compatibility/2006">
          <mc:Choice Requires="x14">
            <control shapeId="10256" r:id="rId16" name="Drop Down 16">
              <controlPr defaultSize="0" autoLine="0" autoPict="0">
                <anchor moveWithCells="1">
                  <from>
                    <xdr:col>2</xdr:col>
                    <xdr:colOff>38100</xdr:colOff>
                    <xdr:row>20</xdr:row>
                    <xdr:rowOff>28575</xdr:rowOff>
                  </from>
                  <to>
                    <xdr:col>2</xdr:col>
                    <xdr:colOff>1209675</xdr:colOff>
                    <xdr:row>20</xdr:row>
                    <xdr:rowOff>228600</xdr:rowOff>
                  </to>
                </anchor>
              </controlPr>
            </control>
          </mc:Choice>
        </mc:AlternateContent>
        <mc:AlternateContent xmlns:mc="http://schemas.openxmlformats.org/markup-compatibility/2006">
          <mc:Choice Requires="x14">
            <control shapeId="10257" r:id="rId17" name="Drop Down 17">
              <controlPr defaultSize="0" autoLine="0" autoPict="0">
                <anchor moveWithCells="1">
                  <from>
                    <xdr:col>3</xdr:col>
                    <xdr:colOff>590550</xdr:colOff>
                    <xdr:row>29</xdr:row>
                    <xdr:rowOff>47625</xdr:rowOff>
                  </from>
                  <to>
                    <xdr:col>4</xdr:col>
                    <xdr:colOff>514350</xdr:colOff>
                    <xdr:row>29</xdr:row>
                    <xdr:rowOff>247650</xdr:rowOff>
                  </to>
                </anchor>
              </controlPr>
            </control>
          </mc:Choice>
        </mc:AlternateContent>
        <mc:AlternateContent xmlns:mc="http://schemas.openxmlformats.org/markup-compatibility/2006">
          <mc:Choice Requires="x14">
            <control shapeId="10258" r:id="rId18" name="Drop Down 18">
              <controlPr defaultSize="0" autoLine="0" autoPict="0">
                <anchor moveWithCells="1">
                  <from>
                    <xdr:col>3</xdr:col>
                    <xdr:colOff>590550</xdr:colOff>
                    <xdr:row>30</xdr:row>
                    <xdr:rowOff>47625</xdr:rowOff>
                  </from>
                  <to>
                    <xdr:col>4</xdr:col>
                    <xdr:colOff>504825</xdr:colOff>
                    <xdr:row>30</xdr:row>
                    <xdr:rowOff>247650</xdr:rowOff>
                  </to>
                </anchor>
              </controlPr>
            </control>
          </mc:Choice>
        </mc:AlternateContent>
        <mc:AlternateContent xmlns:mc="http://schemas.openxmlformats.org/markup-compatibility/2006">
          <mc:Choice Requires="x14">
            <control shapeId="10259" r:id="rId19" name="Check Box 19">
              <controlPr defaultSize="0" autoFill="0" autoLine="0" autoPict="0">
                <anchor moveWithCells="1">
                  <from>
                    <xdr:col>2</xdr:col>
                    <xdr:colOff>485775</xdr:colOff>
                    <xdr:row>31</xdr:row>
                    <xdr:rowOff>0</xdr:rowOff>
                  </from>
                  <to>
                    <xdr:col>2</xdr:col>
                    <xdr:colOff>790575</xdr:colOff>
                    <xdr:row>31</xdr:row>
                    <xdr:rowOff>228600</xdr:rowOff>
                  </to>
                </anchor>
              </controlPr>
            </control>
          </mc:Choice>
        </mc:AlternateContent>
        <mc:AlternateContent xmlns:mc="http://schemas.openxmlformats.org/markup-compatibility/2006">
          <mc:Choice Requires="x14">
            <control shapeId="10260" r:id="rId20" name="Drop Down 20">
              <controlPr defaultSize="0" autoLine="0" autoPict="0">
                <anchor moveWithCells="1">
                  <from>
                    <xdr:col>3</xdr:col>
                    <xdr:colOff>590550</xdr:colOff>
                    <xdr:row>31</xdr:row>
                    <xdr:rowOff>57150</xdr:rowOff>
                  </from>
                  <to>
                    <xdr:col>4</xdr:col>
                    <xdr:colOff>514350</xdr:colOff>
                    <xdr:row>31</xdr:row>
                    <xdr:rowOff>257175</xdr:rowOff>
                  </to>
                </anchor>
              </controlPr>
            </control>
          </mc:Choice>
        </mc:AlternateContent>
        <mc:AlternateContent xmlns:mc="http://schemas.openxmlformats.org/markup-compatibility/2006">
          <mc:Choice Requires="x14">
            <control shapeId="10261" r:id="rId21" name="Check Box 21">
              <controlPr defaultSize="0" autoFill="0" autoLine="0" autoPict="0">
                <anchor moveWithCells="1">
                  <from>
                    <xdr:col>2</xdr:col>
                    <xdr:colOff>476250</xdr:colOff>
                    <xdr:row>32</xdr:row>
                    <xdr:rowOff>47625</xdr:rowOff>
                  </from>
                  <to>
                    <xdr:col>2</xdr:col>
                    <xdr:colOff>676275</xdr:colOff>
                    <xdr:row>32</xdr:row>
                    <xdr:rowOff>228600</xdr:rowOff>
                  </to>
                </anchor>
              </controlPr>
            </control>
          </mc:Choice>
        </mc:AlternateContent>
        <mc:AlternateContent xmlns:mc="http://schemas.openxmlformats.org/markup-compatibility/2006">
          <mc:Choice Requires="x14">
            <control shapeId="10262" r:id="rId22" name="Drop Down 22">
              <controlPr defaultSize="0" autoLine="0" autoPict="0">
                <anchor moveWithCells="1">
                  <from>
                    <xdr:col>3</xdr:col>
                    <xdr:colOff>590550</xdr:colOff>
                    <xdr:row>32</xdr:row>
                    <xdr:rowOff>57150</xdr:rowOff>
                  </from>
                  <to>
                    <xdr:col>4</xdr:col>
                    <xdr:colOff>514350</xdr:colOff>
                    <xdr:row>32</xdr:row>
                    <xdr:rowOff>257175</xdr:rowOff>
                  </to>
                </anchor>
              </controlPr>
            </control>
          </mc:Choice>
        </mc:AlternateContent>
        <mc:AlternateContent xmlns:mc="http://schemas.openxmlformats.org/markup-compatibility/2006">
          <mc:Choice Requires="x14">
            <control shapeId="10263" r:id="rId23" name="Group Box 23">
              <controlPr defaultSize="0" autoFill="0" autoPict="0">
                <anchor moveWithCells="1">
                  <from>
                    <xdr:col>6</xdr:col>
                    <xdr:colOff>9525</xdr:colOff>
                    <xdr:row>4</xdr:row>
                    <xdr:rowOff>0</xdr:rowOff>
                  </from>
                  <to>
                    <xdr:col>10</xdr:col>
                    <xdr:colOff>0</xdr:colOff>
                    <xdr:row>5</xdr:row>
                    <xdr:rowOff>0</xdr:rowOff>
                  </to>
                </anchor>
              </controlPr>
            </control>
          </mc:Choice>
        </mc:AlternateContent>
        <mc:AlternateContent xmlns:mc="http://schemas.openxmlformats.org/markup-compatibility/2006">
          <mc:Choice Requires="x14">
            <control shapeId="10264" r:id="rId24" name="Option Button 24">
              <controlPr defaultSize="0" autoFill="0" autoLine="0" autoPict="0">
                <anchor moveWithCells="1">
                  <from>
                    <xdr:col>7</xdr:col>
                    <xdr:colOff>666750</xdr:colOff>
                    <xdr:row>4</xdr:row>
                    <xdr:rowOff>28575</xdr:rowOff>
                  </from>
                  <to>
                    <xdr:col>7</xdr:col>
                    <xdr:colOff>866775</xdr:colOff>
                    <xdr:row>4</xdr:row>
                    <xdr:rowOff>209550</xdr:rowOff>
                  </to>
                </anchor>
              </controlPr>
            </control>
          </mc:Choice>
        </mc:AlternateContent>
        <mc:AlternateContent xmlns:mc="http://schemas.openxmlformats.org/markup-compatibility/2006">
          <mc:Choice Requires="x14">
            <control shapeId="10265" r:id="rId25" name="Option Button 25">
              <controlPr defaultSize="0" autoFill="0" autoLine="0" autoPict="0">
                <anchor moveWithCells="1">
                  <from>
                    <xdr:col>9</xdr:col>
                    <xdr:colOff>504825</xdr:colOff>
                    <xdr:row>4</xdr:row>
                    <xdr:rowOff>38100</xdr:rowOff>
                  </from>
                  <to>
                    <xdr:col>9</xdr:col>
                    <xdr:colOff>695325</xdr:colOff>
                    <xdr:row>4</xdr:row>
                    <xdr:rowOff>209550</xdr:rowOff>
                  </to>
                </anchor>
              </controlPr>
            </control>
          </mc:Choice>
        </mc:AlternateContent>
        <mc:AlternateContent xmlns:mc="http://schemas.openxmlformats.org/markup-compatibility/2006">
          <mc:Choice Requires="x14">
            <control shapeId="10266" r:id="rId26" name="Drop Down 26">
              <controlPr defaultSize="0" autoLine="0" autoPict="0">
                <anchor moveWithCells="1">
                  <from>
                    <xdr:col>2</xdr:col>
                    <xdr:colOff>28575</xdr:colOff>
                    <xdr:row>3</xdr:row>
                    <xdr:rowOff>28575</xdr:rowOff>
                  </from>
                  <to>
                    <xdr:col>2</xdr:col>
                    <xdr:colOff>1200150</xdr:colOff>
                    <xdr:row>3</xdr:row>
                    <xdr:rowOff>228600</xdr:rowOff>
                  </to>
                </anchor>
              </controlPr>
            </control>
          </mc:Choice>
        </mc:AlternateContent>
        <mc:AlternateContent xmlns:mc="http://schemas.openxmlformats.org/markup-compatibility/2006">
          <mc:Choice Requires="x14">
            <control shapeId="10267" r:id="rId27" name="Group Box 27">
              <controlPr defaultSize="0" autoFill="0" autoPict="0">
                <anchor moveWithCells="1">
                  <from>
                    <xdr:col>1</xdr:col>
                    <xdr:colOff>0</xdr:colOff>
                    <xdr:row>23</xdr:row>
                    <xdr:rowOff>0</xdr:rowOff>
                  </from>
                  <to>
                    <xdr:col>2</xdr:col>
                    <xdr:colOff>1162050</xdr:colOff>
                    <xdr:row>25</xdr:row>
                    <xdr:rowOff>9525</xdr:rowOff>
                  </to>
                </anchor>
              </controlPr>
            </control>
          </mc:Choice>
        </mc:AlternateContent>
        <mc:AlternateContent xmlns:mc="http://schemas.openxmlformats.org/markup-compatibility/2006">
          <mc:Choice Requires="x14">
            <control shapeId="10268" r:id="rId28" name="Option Button 28">
              <controlPr defaultSize="0" autoFill="0" autoLine="0" autoPict="0">
                <anchor moveWithCells="1">
                  <from>
                    <xdr:col>1</xdr:col>
                    <xdr:colOff>1133475</xdr:colOff>
                    <xdr:row>24</xdr:row>
                    <xdr:rowOff>38100</xdr:rowOff>
                  </from>
                  <to>
                    <xdr:col>1</xdr:col>
                    <xdr:colOff>1362075</xdr:colOff>
                    <xdr:row>24</xdr:row>
                    <xdr:rowOff>228600</xdr:rowOff>
                  </to>
                </anchor>
              </controlPr>
            </control>
          </mc:Choice>
        </mc:AlternateContent>
        <mc:AlternateContent xmlns:mc="http://schemas.openxmlformats.org/markup-compatibility/2006">
          <mc:Choice Requires="x14">
            <control shapeId="10269" r:id="rId29" name="Option Button 29">
              <controlPr defaultSize="0" autoFill="0" autoLine="0" autoPict="0">
                <anchor moveWithCells="1">
                  <from>
                    <xdr:col>2</xdr:col>
                    <xdr:colOff>752475</xdr:colOff>
                    <xdr:row>24</xdr:row>
                    <xdr:rowOff>47625</xdr:rowOff>
                  </from>
                  <to>
                    <xdr:col>2</xdr:col>
                    <xdr:colOff>942975</xdr:colOff>
                    <xdr:row>24</xdr:row>
                    <xdr:rowOff>209550</xdr:rowOff>
                  </to>
                </anchor>
              </controlPr>
            </control>
          </mc:Choice>
        </mc:AlternateContent>
        <mc:AlternateContent xmlns:mc="http://schemas.openxmlformats.org/markup-compatibility/2006">
          <mc:Choice Requires="x14">
            <control shapeId="10271" r:id="rId30" name="Check Box 31">
              <controlPr defaultSize="0" autoFill="0" autoLine="0" autoPict="0">
                <anchor moveWithCells="1">
                  <from>
                    <xdr:col>1</xdr:col>
                    <xdr:colOff>828675</xdr:colOff>
                    <xdr:row>38</xdr:row>
                    <xdr:rowOff>85725</xdr:rowOff>
                  </from>
                  <to>
                    <xdr:col>1</xdr:col>
                    <xdr:colOff>1085850</xdr:colOff>
                    <xdr:row>38</xdr:row>
                    <xdr:rowOff>285750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0" id="{E089F9CF-AAD9-4409-80A9-56F10D42AF2D}">
            <xm:f>'R4UD_Ref'!#REF!=1</xm:f>
            <x14:dxf>
              <font>
                <color theme="0"/>
              </font>
              <fill>
                <patternFill patternType="none">
                  <bgColor auto="1"/>
                </patternFill>
              </fill>
              <border>
                <left/>
                <right/>
                <top/>
                <bottom/>
                <vertical/>
                <horizontal/>
              </border>
            </x14:dxf>
          </x14:cfRule>
          <xm:sqref>B37:F37 B40:F47 D38:F39</xm:sqref>
        </x14:conditionalFormatting>
        <x14:conditionalFormatting xmlns:xm="http://schemas.microsoft.com/office/excel/2006/main">
          <x14:cfRule type="expression" priority="67" id="{AA5DB389-4731-489C-9AE5-44223729AB13}">
            <xm:f>'R4UD_Ref'!#REF!=1</xm:f>
            <x14:dxf>
              <border>
                <bottom style="thin">
                  <color auto="1"/>
                </bottom>
                <vertical/>
                <horizontal/>
              </border>
            </x14:dxf>
          </x14:cfRule>
          <xm:sqref>B36:D36</xm:sqref>
        </x14:conditionalFormatting>
        <x14:conditionalFormatting xmlns:xm="http://schemas.microsoft.com/office/excel/2006/main">
          <x14:cfRule type="expression" priority="49" id="{3A4AA5E2-44B4-4EB7-9941-69BD76EC0536}">
            <xm:f>'R4UD_Ref'!#REF!=1</xm:f>
            <x14:dxf>
              <font>
                <color theme="0"/>
              </font>
              <fill>
                <patternFill patternType="solid">
                  <bgColor theme="0"/>
                </patternFill>
              </fill>
              <border>
                <top style="thin">
                  <color auto="1"/>
                </top>
                <vertical/>
                <horizontal/>
              </border>
            </x14:dxf>
          </x14:cfRule>
          <xm:sqref>F37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E000000}">
          <x14:formula1>
            <xm:f>'R4UD_Ref'!#REF!</xm:f>
          </x14:formula1>
          <xm:sqref>C38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N150"/>
  <sheetViews>
    <sheetView showGridLines="0" topLeftCell="A82" zoomScaleNormal="100" workbookViewId="0">
      <selection activeCell="E64" sqref="E64"/>
    </sheetView>
  </sheetViews>
  <sheetFormatPr defaultRowHeight="15" x14ac:dyDescent="0.25"/>
  <cols>
    <col min="2" max="2" width="21.140625" customWidth="1"/>
    <col min="3" max="3" width="26.42578125" customWidth="1"/>
    <col min="4" max="4" width="14.7109375" customWidth="1"/>
    <col min="5" max="5" width="14.42578125" customWidth="1"/>
    <col min="6" max="6" width="13.28515625" customWidth="1"/>
    <col min="8" max="8" width="14.7109375" customWidth="1"/>
    <col min="9" max="9" width="11.7109375" customWidth="1"/>
  </cols>
  <sheetData>
    <row r="2" spans="1:7" ht="15.75" thickBot="1" x14ac:dyDescent="0.3">
      <c r="D2" s="602"/>
      <c r="E2" s="603"/>
      <c r="F2" s="4"/>
    </row>
    <row r="3" spans="1:7" ht="16.5" thickTop="1" thickBot="1" x14ac:dyDescent="0.3">
      <c r="A3" s="207"/>
      <c r="B3" s="734" t="s">
        <v>0</v>
      </c>
      <c r="C3" s="745"/>
      <c r="D3" s="301" t="s">
        <v>6</v>
      </c>
      <c r="E3" s="302" t="s">
        <v>7</v>
      </c>
      <c r="F3" s="303" t="s">
        <v>8</v>
      </c>
      <c r="G3" s="207"/>
    </row>
    <row r="4" spans="1:7" ht="5.0999999999999996" customHeight="1" thickTop="1" thickBot="1" x14ac:dyDescent="0.3">
      <c r="A4" s="249"/>
      <c r="B4" s="671"/>
      <c r="C4" s="672"/>
      <c r="D4" s="210"/>
      <c r="E4" s="213"/>
      <c r="F4" s="252"/>
      <c r="G4" s="207"/>
    </row>
    <row r="5" spans="1:7" ht="20.100000000000001" customHeight="1" thickTop="1" x14ac:dyDescent="0.25">
      <c r="A5" s="249"/>
      <c r="B5" s="660" t="s">
        <v>1</v>
      </c>
      <c r="C5" s="149" t="s">
        <v>3</v>
      </c>
      <c r="D5" s="239">
        <v>2.5</v>
      </c>
      <c r="E5" s="242"/>
      <c r="F5" s="132">
        <f>IF('R4UD_Ref'!$F$31=1,'R4UD_Setup'!D5,IF('R4UD_Ref'!$F$31=2,IF(E5&lt;&gt;"",'R4UD_Setup'!E5,D5),"SELECT VALUE"))</f>
        <v>2.5</v>
      </c>
      <c r="G5" s="207"/>
    </row>
    <row r="6" spans="1:7" ht="20.100000000000001" customHeight="1" x14ac:dyDescent="0.25">
      <c r="A6" s="249"/>
      <c r="B6" s="660"/>
      <c r="C6" s="149" t="s">
        <v>4</v>
      </c>
      <c r="D6" s="240">
        <v>3</v>
      </c>
      <c r="E6" s="243"/>
      <c r="F6" s="132">
        <f>IF('R4UD_Ref'!$G$31=1,'R4UD_Setup'!D6,IF('R4UD_Ref'!$G$31=2,IF(E6&lt;&gt;"",'R4UD_Setup'!E6,D6),"SELECT VALUE"))</f>
        <v>3</v>
      </c>
      <c r="G6" s="207"/>
    </row>
    <row r="7" spans="1:7" ht="20.100000000000001" customHeight="1" thickBot="1" x14ac:dyDescent="0.3">
      <c r="A7" s="249"/>
      <c r="B7" s="661"/>
      <c r="C7" s="150" t="s">
        <v>5</v>
      </c>
      <c r="D7" s="241">
        <v>4.5</v>
      </c>
      <c r="E7" s="244"/>
      <c r="F7" s="133">
        <f>IF('R4UD_Ref'!$H$31=1,'R4UD_Setup'!D7,IF('R4UD_Ref'!$H$31=2,IF(E7&lt;&gt;"",'R4UD_Setup'!E7,D7),"SELECT VALUE"))</f>
        <v>4.5</v>
      </c>
      <c r="G7" s="207"/>
    </row>
    <row r="8" spans="1:7" ht="5.0999999999999996" customHeight="1" thickTop="1" thickBot="1" x14ac:dyDescent="0.3">
      <c r="A8" s="7"/>
      <c r="B8" s="233"/>
      <c r="C8" s="153"/>
      <c r="D8" s="154"/>
      <c r="E8" s="155"/>
      <c r="F8" s="154"/>
      <c r="G8" s="251"/>
    </row>
    <row r="9" spans="1:7" ht="20.100000000000001" customHeight="1" thickTop="1" x14ac:dyDescent="0.25">
      <c r="A9" s="249"/>
      <c r="B9" s="662" t="s">
        <v>227</v>
      </c>
      <c r="C9" s="151" t="s">
        <v>205</v>
      </c>
      <c r="D9" s="30">
        <v>8</v>
      </c>
      <c r="E9" s="90"/>
      <c r="F9" s="134">
        <f>IF('R4UD_Ref'!E32=1,'R4UD_Setup'!D9,IF('R4UD_Ref'!E32=2,IF(E9&lt;&gt;"",'R4UD_Setup'!E9,D9),"SELECT VALUE"))</f>
        <v>8</v>
      </c>
      <c r="G9" s="207"/>
    </row>
    <row r="10" spans="1:7" ht="20.100000000000001" customHeight="1" thickBot="1" x14ac:dyDescent="0.3">
      <c r="A10" s="249"/>
      <c r="B10" s="663"/>
      <c r="C10" s="150" t="s">
        <v>11</v>
      </c>
      <c r="D10" s="31">
        <v>8</v>
      </c>
      <c r="E10" s="91"/>
      <c r="F10" s="135">
        <f>IF('R4UD_Ref'!E33=1,'R4UD_Setup'!D10,IF('R4UD_Ref'!E33=2,IF(E10&lt;&gt;"",'R4UD_Setup'!E10,D10),"SELECT VALUE"))</f>
        <v>8</v>
      </c>
      <c r="G10" s="207"/>
    </row>
    <row r="11" spans="1:7" ht="5.0999999999999996" customHeight="1" thickTop="1" thickBot="1" x14ac:dyDescent="0.3">
      <c r="A11" s="7"/>
      <c r="B11" s="234"/>
      <c r="C11" s="153"/>
      <c r="D11" s="157"/>
      <c r="E11" s="158"/>
      <c r="F11" s="157"/>
      <c r="G11" s="251"/>
    </row>
    <row r="12" spans="1:7" ht="20.100000000000001" customHeight="1" thickTop="1" thickBot="1" x14ac:dyDescent="0.3">
      <c r="A12" s="249"/>
      <c r="B12" s="664" t="s">
        <v>12</v>
      </c>
      <c r="C12" s="151" t="s">
        <v>205</v>
      </c>
      <c r="D12" s="30">
        <v>2</v>
      </c>
      <c r="E12" s="90"/>
      <c r="F12" s="134">
        <f>IF('R4UD_Ref'!E34=1,'R4UD_Setup'!D12,IF('R4UD_Ref'!E34=2,IF(E12&lt;&gt;"",'R4UD_Setup'!E12,D12),"SELECT VALUE"))</f>
        <v>2</v>
      </c>
      <c r="G12" s="207"/>
    </row>
    <row r="13" spans="1:7" ht="20.100000000000001" customHeight="1" thickBot="1" x14ac:dyDescent="0.3">
      <c r="A13" s="249"/>
      <c r="B13" s="661"/>
      <c r="C13" s="150" t="s">
        <v>11</v>
      </c>
      <c r="D13" s="31">
        <v>2</v>
      </c>
      <c r="E13" s="91"/>
      <c r="F13" s="136">
        <f>IF('R4UD_Ref'!E35=1,'R4UD_Setup'!D13,IF('R4UD_Ref'!E35=2,IF(E13&lt;&gt;"",'R4UD_Setup'!E13,D13),"SELECT VALUE"))</f>
        <v>2</v>
      </c>
      <c r="G13" s="207"/>
    </row>
    <row r="14" spans="1:7" ht="5.0999999999999996" customHeight="1" thickTop="1" thickBot="1" x14ac:dyDescent="0.3">
      <c r="A14" s="7"/>
      <c r="B14" s="233"/>
      <c r="C14" s="153"/>
      <c r="D14" s="157"/>
      <c r="E14" s="158"/>
      <c r="F14" s="236"/>
      <c r="G14" s="7"/>
    </row>
    <row r="15" spans="1:7" ht="20.100000000000001" customHeight="1" thickTop="1" thickBot="1" x14ac:dyDescent="0.3">
      <c r="A15" s="249"/>
      <c r="B15" s="664" t="s">
        <v>13</v>
      </c>
      <c r="C15" s="151" t="s">
        <v>205</v>
      </c>
      <c r="D15" s="30">
        <v>5</v>
      </c>
      <c r="E15" s="90"/>
      <c r="F15" s="134">
        <f>IF('R4UD_Ref'!E36=1,'R4UD_Setup'!D15,IF('R4UD_Ref'!E36=2,IF(E15&lt;&gt;"",'R4UD_Setup'!E15,D15),"SELECT VALUE"))</f>
        <v>5</v>
      </c>
      <c r="G15" s="207"/>
    </row>
    <row r="16" spans="1:7" ht="20.100000000000001" customHeight="1" thickBot="1" x14ac:dyDescent="0.3">
      <c r="A16" s="249"/>
      <c r="B16" s="661"/>
      <c r="C16" s="150" t="s">
        <v>11</v>
      </c>
      <c r="D16" s="31">
        <v>5</v>
      </c>
      <c r="E16" s="91"/>
      <c r="F16" s="136">
        <f>IF('R4UD_Ref'!E37=1,'R4UD_Setup'!D16,IF('R4UD_Ref'!E37=2,IF(E16&lt;&gt;"",'R4UD_Setup'!E16,D16),"SELECT VALUE"))</f>
        <v>5</v>
      </c>
      <c r="G16" s="207"/>
    </row>
    <row r="17" spans="1:7" ht="5.0999999999999996" customHeight="1" thickTop="1" thickBot="1" x14ac:dyDescent="0.3">
      <c r="A17" s="7"/>
      <c r="B17" s="233"/>
      <c r="C17" s="152"/>
      <c r="D17" s="160"/>
      <c r="E17" s="158"/>
      <c r="F17" s="236"/>
      <c r="G17" s="7"/>
    </row>
    <row r="18" spans="1:7" ht="20.100000000000001" customHeight="1" thickTop="1" thickBot="1" x14ac:dyDescent="0.3">
      <c r="A18" s="207"/>
      <c r="B18" s="656" t="s">
        <v>263</v>
      </c>
      <c r="C18" s="657"/>
      <c r="D18" s="103">
        <v>500</v>
      </c>
      <c r="E18" s="360"/>
      <c r="F18" s="137">
        <f>IF('R4UD_Ref'!E38=1,'R4UD_Setup'!D18,IF('R4UD_Ref'!E38=2,IF(E18&lt;&gt;"",'R4UD_Setup'!E18,D18),"SELECT VALUE"))</f>
        <v>500</v>
      </c>
      <c r="G18" s="207"/>
    </row>
    <row r="19" spans="1:7" ht="15.75" thickTop="1" x14ac:dyDescent="0.25">
      <c r="A19" s="207"/>
      <c r="B19" s="7"/>
      <c r="C19" s="207"/>
      <c r="D19" s="207"/>
      <c r="E19" s="250"/>
      <c r="F19" s="207"/>
      <c r="G19" s="207"/>
    </row>
    <row r="20" spans="1:7" ht="15.75" thickBot="1" x14ac:dyDescent="0.3">
      <c r="B20" s="4"/>
      <c r="E20" s="4"/>
    </row>
    <row r="21" spans="1:7" ht="16.5" thickTop="1" thickBot="1" x14ac:dyDescent="0.3">
      <c r="A21" s="207"/>
      <c r="B21" s="734" t="s">
        <v>14</v>
      </c>
      <c r="C21" s="735"/>
      <c r="D21" s="301" t="s">
        <v>6</v>
      </c>
      <c r="E21" s="304" t="s">
        <v>7</v>
      </c>
      <c r="F21" s="303" t="s">
        <v>8</v>
      </c>
      <c r="G21" s="207"/>
    </row>
    <row r="22" spans="1:7" ht="5.0999999999999996" customHeight="1" thickTop="1" thickBot="1" x14ac:dyDescent="0.3">
      <c r="A22" s="7"/>
      <c r="B22" s="671"/>
      <c r="C22" s="672"/>
      <c r="D22" s="210"/>
      <c r="E22" s="210"/>
      <c r="F22" s="252"/>
      <c r="G22" s="207"/>
    </row>
    <row r="23" spans="1:7" ht="20.100000000000001" customHeight="1" thickTop="1" thickBot="1" x14ac:dyDescent="0.3">
      <c r="A23" s="7"/>
      <c r="B23" s="35" t="s">
        <v>15</v>
      </c>
      <c r="C23" s="181" t="s">
        <v>26</v>
      </c>
      <c r="D23" s="66">
        <v>10</v>
      </c>
      <c r="E23" s="148"/>
      <c r="F23" s="139">
        <f>IF('R4UD_Ref'!E41=1,'R4UD_Setup'!D23,IF('R4UD_Ref'!E41=2,IF(E23&lt;&gt;"",'R4UD_Setup'!E23,D23),"SELECT VALUE"))</f>
        <v>10</v>
      </c>
      <c r="G23" s="7"/>
    </row>
    <row r="24" spans="1:7" ht="5.0999999999999996" customHeight="1" thickTop="1" thickBot="1" x14ac:dyDescent="0.3">
      <c r="A24" s="7"/>
      <c r="B24" s="253"/>
      <c r="C24" s="162"/>
      <c r="D24" s="163"/>
      <c r="E24" s="164"/>
      <c r="F24" s="163"/>
      <c r="G24" s="251"/>
    </row>
    <row r="25" spans="1:7" ht="20.100000000000001" customHeight="1" thickTop="1" thickBot="1" x14ac:dyDescent="0.3">
      <c r="A25" s="7"/>
      <c r="B25" s="35" t="s">
        <v>16</v>
      </c>
      <c r="C25" s="182" t="s">
        <v>27</v>
      </c>
      <c r="D25" s="65">
        <v>2</v>
      </c>
      <c r="E25" s="148"/>
      <c r="F25" s="139">
        <f>IF('R4UD_Ref'!E42=1,'R4UD_Setup'!D25,IF('R4UD_Ref'!E42=2,IF(E25&lt;&gt;"",'R4UD_Setup'!E25,D25),"SELECT VALUE"))</f>
        <v>2</v>
      </c>
      <c r="G25" s="207"/>
    </row>
    <row r="26" spans="1:7" ht="5.0999999999999996" customHeight="1" thickTop="1" thickBot="1" x14ac:dyDescent="0.3">
      <c r="A26" s="7"/>
      <c r="B26" s="234"/>
      <c r="C26" s="165"/>
      <c r="D26" s="163"/>
      <c r="E26" s="164"/>
      <c r="F26" s="254"/>
      <c r="G26" s="7"/>
    </row>
    <row r="27" spans="1:7" ht="31.5" thickTop="1" thickBot="1" x14ac:dyDescent="0.3">
      <c r="A27" s="7"/>
      <c r="B27" s="105" t="s">
        <v>17</v>
      </c>
      <c r="C27" s="183" t="s">
        <v>26</v>
      </c>
      <c r="D27" s="66">
        <v>55</v>
      </c>
      <c r="E27" s="148"/>
      <c r="F27" s="139">
        <f>IF('R4UD_Ref'!E43=1,'R4UD_Setup'!D27,IF('R4UD_Ref'!E43=2,IF(E27&lt;&gt;"",'R4UD_Setup'!E27,D27),"SELECT VALUE"))</f>
        <v>55</v>
      </c>
      <c r="G27" s="207"/>
    </row>
    <row r="28" spans="1:7" ht="5.0999999999999996" customHeight="1" thickTop="1" thickBot="1" x14ac:dyDescent="0.3">
      <c r="A28" s="7"/>
      <c r="B28" s="233"/>
      <c r="C28" s="166"/>
      <c r="D28" s="167"/>
      <c r="E28" s="168"/>
      <c r="F28" s="254"/>
      <c r="G28" s="7"/>
    </row>
    <row r="29" spans="1:7" ht="31.5" thickTop="1" thickBot="1" x14ac:dyDescent="0.3">
      <c r="A29" s="249"/>
      <c r="B29" s="34" t="s">
        <v>18</v>
      </c>
      <c r="C29" s="183" t="s">
        <v>27</v>
      </c>
      <c r="D29" s="66">
        <v>40</v>
      </c>
      <c r="E29" s="92"/>
      <c r="F29" s="140">
        <f>IF('R4UD_Ref'!E44=1,'R4UD_Setup'!D29,IF('R4UD_Ref'!E44=2,IF(E29&lt;&gt;"",'R4UD_Setup'!E29,D29),"SELECT VALUE"))</f>
        <v>40</v>
      </c>
      <c r="G29" s="207"/>
    </row>
    <row r="30" spans="1:7" ht="5.0999999999999996" customHeight="1" thickTop="1" thickBot="1" x14ac:dyDescent="0.3">
      <c r="A30" s="7"/>
      <c r="B30" s="233"/>
      <c r="C30" s="169"/>
      <c r="D30" s="170"/>
      <c r="E30" s="171"/>
      <c r="F30" s="254"/>
      <c r="G30" s="207"/>
    </row>
    <row r="31" spans="1:7" ht="31.5" thickTop="1" thickBot="1" x14ac:dyDescent="0.3">
      <c r="A31" s="249"/>
      <c r="B31" s="34" t="s">
        <v>19</v>
      </c>
      <c r="C31" s="183" t="s">
        <v>27</v>
      </c>
      <c r="D31" s="66">
        <v>1</v>
      </c>
      <c r="E31" s="92"/>
      <c r="F31" s="140">
        <f>IF('R4UD_Ref'!E45=1,'R4UD_Setup'!D31,IF('R4UD_Ref'!E45=2,IF(E31&lt;&gt;"",'R4UD_Setup'!E31,D31),"SELECT VALUE"))</f>
        <v>1</v>
      </c>
      <c r="G31" s="207"/>
    </row>
    <row r="32" spans="1:7" ht="5.0999999999999996" customHeight="1" thickTop="1" thickBot="1" x14ac:dyDescent="0.3">
      <c r="A32" s="249"/>
      <c r="B32" s="159"/>
      <c r="C32" s="169"/>
      <c r="D32" s="170"/>
      <c r="E32" s="171"/>
      <c r="F32" s="254"/>
      <c r="G32" s="207"/>
    </row>
    <row r="33" spans="1:7" ht="20.100000000000001" customHeight="1" thickTop="1" thickBot="1" x14ac:dyDescent="0.3">
      <c r="A33" s="249"/>
      <c r="B33" s="33" t="s">
        <v>20</v>
      </c>
      <c r="C33" s="183" t="s">
        <v>26</v>
      </c>
      <c r="D33" s="66">
        <v>8</v>
      </c>
      <c r="E33" s="92"/>
      <c r="F33" s="140">
        <f>IF('R4UD_Ref'!E46=1,'R4UD_Setup'!D33,IF('R4UD_Ref'!E46=2,IF(E33&lt;&gt;"",'R4UD_Setup'!E33,D33),"SELECT VALUE"))</f>
        <v>8</v>
      </c>
      <c r="G33" s="207"/>
    </row>
    <row r="34" spans="1:7" ht="5.0999999999999996" customHeight="1" thickTop="1" thickBot="1" x14ac:dyDescent="0.3">
      <c r="A34" s="249"/>
      <c r="B34" s="156"/>
      <c r="C34" s="169"/>
      <c r="D34" s="170"/>
      <c r="E34" s="171"/>
      <c r="F34" s="170"/>
      <c r="G34" s="251"/>
    </row>
    <row r="35" spans="1:7" ht="20.100000000000001" customHeight="1" thickTop="1" thickBot="1" x14ac:dyDescent="0.3">
      <c r="A35" s="249"/>
      <c r="B35" s="35" t="s">
        <v>21</v>
      </c>
      <c r="C35" s="183" t="s">
        <v>28</v>
      </c>
      <c r="D35" s="109">
        <v>5000</v>
      </c>
      <c r="E35" s="93"/>
      <c r="F35" s="141">
        <f>IF('R4UD_Ref'!E47=1,'R4UD_Setup'!D35,IF('R4UD_Ref'!E47=2,IF(E35&lt;&gt;"",'R4UD_Setup'!E35,D35),"SELECT VALUE"))</f>
        <v>5000</v>
      </c>
      <c r="G35" s="207"/>
    </row>
    <row r="36" spans="1:7" ht="5.0999999999999996" customHeight="1" thickTop="1" thickBot="1" x14ac:dyDescent="0.3">
      <c r="A36" s="7"/>
      <c r="B36" s="234"/>
      <c r="C36" s="169"/>
      <c r="D36" s="172"/>
      <c r="E36" s="173"/>
      <c r="F36" s="255"/>
      <c r="G36" s="7"/>
    </row>
    <row r="37" spans="1:7" ht="30" customHeight="1" thickTop="1" thickBot="1" x14ac:dyDescent="0.3">
      <c r="A37" s="249"/>
      <c r="B37" s="104" t="s">
        <v>271</v>
      </c>
      <c r="C37" s="184" t="s">
        <v>265</v>
      </c>
      <c r="D37" s="65">
        <v>0.5</v>
      </c>
      <c r="E37" s="92"/>
      <c r="F37" s="140">
        <f>IF('R4UD_Ref'!E121=1,'R4UD_Setup'!D37,IF('R4UD_Ref'!E121=2,IF(E37&lt;&gt;"",'R4UD_Setup'!E37,D37),"SELECT VALUE"))</f>
        <v>0.5</v>
      </c>
      <c r="G37" s="207"/>
    </row>
    <row r="38" spans="1:7" ht="5.0999999999999996" customHeight="1" thickTop="1" thickBot="1" x14ac:dyDescent="0.3">
      <c r="A38" s="249"/>
      <c r="B38" s="159"/>
      <c r="C38" s="174"/>
      <c r="D38" s="170"/>
      <c r="E38" s="171"/>
      <c r="F38" s="170"/>
      <c r="G38" s="251"/>
    </row>
    <row r="39" spans="1:7" ht="30" customHeight="1" thickTop="1" thickBot="1" x14ac:dyDescent="0.3">
      <c r="A39" s="249"/>
      <c r="B39" s="104" t="s">
        <v>270</v>
      </c>
      <c r="C39" s="185" t="s">
        <v>272</v>
      </c>
      <c r="D39" s="65">
        <v>0.4</v>
      </c>
      <c r="E39" s="92"/>
      <c r="F39" s="140">
        <f>IF('R4UD_Ref'!E122=1,'R4UD_Setup'!D39,IF('R4UD_Ref'!E122=2,IF(E39&lt;&gt;"",'R4UD_Setup'!E39,D39),"SELECT VALUE"))</f>
        <v>0.4</v>
      </c>
      <c r="G39" s="207"/>
    </row>
    <row r="40" spans="1:7" ht="5.0999999999999996" customHeight="1" thickTop="1" thickBot="1" x14ac:dyDescent="0.3">
      <c r="A40" s="7"/>
      <c r="B40" s="233"/>
      <c r="C40" s="175"/>
      <c r="D40" s="170"/>
      <c r="E40" s="164"/>
      <c r="F40" s="254"/>
      <c r="G40" s="7"/>
    </row>
    <row r="41" spans="1:7" ht="30" customHeight="1" thickTop="1" thickBot="1" x14ac:dyDescent="0.3">
      <c r="A41" s="249"/>
      <c r="B41" s="105" t="s">
        <v>725</v>
      </c>
      <c r="C41" s="183" t="s">
        <v>265</v>
      </c>
      <c r="D41" s="65">
        <v>4</v>
      </c>
      <c r="E41" s="92"/>
      <c r="F41" s="140">
        <f>IF('R4UD_Ref'!E119=1,'R4UD_Setup'!D41,IF('R4UD_Ref'!E119=2,IF(E41&lt;&gt;"",'R4UD_Setup'!E41,D41),"SELECT VALUE"))</f>
        <v>4</v>
      </c>
      <c r="G41" s="207"/>
    </row>
    <row r="42" spans="1:7" ht="5.0999999999999996" customHeight="1" thickTop="1" thickBot="1" x14ac:dyDescent="0.3">
      <c r="A42" s="7"/>
      <c r="B42" s="233"/>
      <c r="C42" s="169"/>
      <c r="D42" s="167"/>
      <c r="E42" s="171"/>
      <c r="F42" s="254"/>
      <c r="G42" s="207"/>
    </row>
    <row r="43" spans="1:7" ht="20.100000000000001" customHeight="1" thickTop="1" thickBot="1" x14ac:dyDescent="0.3">
      <c r="A43" s="249"/>
      <c r="B43" s="35" t="s">
        <v>264</v>
      </c>
      <c r="C43" s="186" t="s">
        <v>266</v>
      </c>
      <c r="D43" s="106">
        <v>60</v>
      </c>
      <c r="E43" s="92"/>
      <c r="F43" s="140">
        <f>IF('R4UD_Ref'!E120=1,'R4UD_Setup'!D43,IF('R4UD_Ref'!E120=2,IF(E43&lt;&gt;"",'R4UD_Setup'!E43,D43),"SELECT VALUE"))</f>
        <v>60</v>
      </c>
      <c r="G43" s="207"/>
    </row>
    <row r="44" spans="1:7" ht="5.0999999999999996" customHeight="1" thickTop="1" thickBot="1" x14ac:dyDescent="0.3">
      <c r="A44" s="7"/>
      <c r="B44" s="234"/>
      <c r="C44" s="169"/>
      <c r="D44" s="163"/>
      <c r="E44" s="171"/>
      <c r="F44" s="254"/>
      <c r="G44" s="207"/>
    </row>
    <row r="45" spans="1:7" ht="20.100000000000001" customHeight="1" thickTop="1" x14ac:dyDescent="0.25">
      <c r="A45" s="249"/>
      <c r="B45" s="654" t="s">
        <v>22</v>
      </c>
      <c r="C45" s="187" t="s">
        <v>29</v>
      </c>
      <c r="D45" s="305">
        <v>4.0000000000000001E-3</v>
      </c>
      <c r="E45" s="98"/>
      <c r="F45" s="142">
        <f>IF('R4UD_Ref'!$E$48=1,'R4UD_Setup'!D45,IF('R4UD_Ref'!$E$48=2,IF(E45&lt;&gt;"",'R4UD_Setup'!E45,D45),"SELECT VALUE"))</f>
        <v>4.0000000000000001E-3</v>
      </c>
      <c r="G45" s="207"/>
    </row>
    <row r="46" spans="1:7" ht="20.100000000000001" customHeight="1" x14ac:dyDescent="0.25">
      <c r="A46" s="249"/>
      <c r="B46" s="654"/>
      <c r="C46" s="187" t="s">
        <v>30</v>
      </c>
      <c r="D46" s="47">
        <v>1E-3</v>
      </c>
      <c r="E46" s="98"/>
      <c r="F46" s="142">
        <f>IF('R4UD_Ref'!$E$49=1,'R4UD_Setup'!D46,IF('R4UD_Ref'!$E$49=2,IF(E46&lt;&gt;"",'R4UD_Setup'!E46,D46),"SELECT VALUE"))</f>
        <v>1E-3</v>
      </c>
      <c r="G46" s="207"/>
    </row>
    <row r="47" spans="1:7" ht="20.100000000000001" customHeight="1" x14ac:dyDescent="0.25">
      <c r="A47" s="249"/>
      <c r="B47" s="654"/>
      <c r="C47" s="187" t="s">
        <v>31</v>
      </c>
      <c r="D47" s="258">
        <v>0.08</v>
      </c>
      <c r="E47" s="98"/>
      <c r="F47" s="142">
        <f>IF('R4UD_Ref'!$E$50=1,'R4UD_Setup'!D47,IF('R4UD_Ref'!$E$50=2,IF(E47&lt;&gt;"",'R4UD_Setup'!E47,D47),"SELECT VALUE"))</f>
        <v>0.08</v>
      </c>
      <c r="G47" s="207"/>
    </row>
    <row r="48" spans="1:7" ht="20.100000000000001" customHeight="1" thickBot="1" x14ac:dyDescent="0.3">
      <c r="A48" s="249"/>
      <c r="B48" s="655"/>
      <c r="C48" s="188" t="s">
        <v>32</v>
      </c>
      <c r="D48" s="259">
        <v>0.05</v>
      </c>
      <c r="E48" s="260"/>
      <c r="F48" s="143">
        <f>IF('R4UD_Ref'!$E$51=1,'R4UD_Setup'!D48,IF('R4UD_Ref'!$E$51=2,IF(E48&lt;&gt;"",'R4UD_Setup'!E48,D48),"SELECT VALUE"))</f>
        <v>0.05</v>
      </c>
      <c r="G48" s="207"/>
    </row>
    <row r="49" spans="1:13" ht="5.0999999999999996" customHeight="1" thickTop="1" thickBot="1" x14ac:dyDescent="0.3">
      <c r="A49" s="7"/>
      <c r="B49" s="233"/>
      <c r="C49" s="166"/>
      <c r="D49" s="176"/>
      <c r="E49" s="177"/>
      <c r="F49" s="176"/>
      <c r="G49" s="251"/>
    </row>
    <row r="50" spans="1:13" ht="20.100000000000001" customHeight="1" thickTop="1" thickBot="1" x14ac:dyDescent="0.3">
      <c r="A50" s="249"/>
      <c r="B50" s="35" t="s">
        <v>23</v>
      </c>
      <c r="C50" s="182" t="s">
        <v>33</v>
      </c>
      <c r="D50" s="43">
        <v>7.0000000000000007E-2</v>
      </c>
      <c r="E50" s="96"/>
      <c r="F50" s="144">
        <f>IF('R4UD_Ref'!E52=1,'R4UD_Setup'!D50,IF('R4UD_Ref'!E52=2,IF(E50&lt;&gt;"",'R4UD_Setup'!E50,D50),"SELECT VALUE"))</f>
        <v>7.0000000000000007E-2</v>
      </c>
      <c r="G50" s="251"/>
    </row>
    <row r="51" spans="1:13" ht="5.0999999999999996" customHeight="1" thickTop="1" thickBot="1" x14ac:dyDescent="0.3">
      <c r="A51" s="7"/>
      <c r="B51" s="234"/>
      <c r="C51" s="174"/>
      <c r="D51" s="178"/>
      <c r="E51" s="179"/>
      <c r="F51" s="306"/>
      <c r="G51" s="7"/>
    </row>
    <row r="52" spans="1:13" ht="24.95" customHeight="1" thickTop="1" x14ac:dyDescent="0.25">
      <c r="A52" s="207"/>
      <c r="B52" s="662" t="s">
        <v>24</v>
      </c>
      <c r="C52" s="189" t="s">
        <v>34</v>
      </c>
      <c r="D52" s="665">
        <v>20</v>
      </c>
      <c r="E52" s="39"/>
      <c r="F52" s="667">
        <f>IF('R4UD_Ref'!E53=1,'R4UD_Setup'!D52,IF('R4UD_Ref'!E53=2,IF('R4UD_Ref'!D53=1,5,IF('R4UD_Ref'!D53=2,10,IF('R4UD_Ref'!D53=3,20,'R4UD_Setup'!D52))),"SELECT OPTION"))</f>
        <v>20</v>
      </c>
      <c r="G52" s="207"/>
    </row>
    <row r="53" spans="1:13" ht="24.95" customHeight="1" x14ac:dyDescent="0.25">
      <c r="A53" s="207"/>
      <c r="B53" s="670"/>
      <c r="C53" s="187" t="s">
        <v>35</v>
      </c>
      <c r="D53" s="666"/>
      <c r="E53" s="40"/>
      <c r="F53" s="668"/>
      <c r="G53" s="207"/>
    </row>
    <row r="54" spans="1:13" ht="24.95" customHeight="1" thickBot="1" x14ac:dyDescent="0.3">
      <c r="A54" s="207"/>
      <c r="B54" s="670"/>
      <c r="C54" s="187" t="s">
        <v>36</v>
      </c>
      <c r="D54" s="666"/>
      <c r="E54" s="40"/>
      <c r="F54" s="669"/>
      <c r="G54" s="207"/>
    </row>
    <row r="55" spans="1:13" ht="24.95" customHeight="1" thickTop="1" thickBot="1" x14ac:dyDescent="0.3">
      <c r="A55" s="207"/>
      <c r="B55" s="670"/>
      <c r="C55" s="187" t="s">
        <v>37</v>
      </c>
      <c r="D55" s="63">
        <v>20</v>
      </c>
      <c r="E55" s="40"/>
      <c r="F55" s="145">
        <f>IF('R4UD_Ref'!E56=1,'R4UD_Setup'!D55,IF('R4UD_Ref'!E56=2,IF('R4UD_Ref'!D56=1,5,IF('R4UD_Ref'!D56=2,10,IF('R4UD_Ref'!D56=3,20,'R4UD_Setup'!D55))),"SELECT OPTION"))</f>
        <v>20</v>
      </c>
      <c r="G55" s="207"/>
    </row>
    <row r="56" spans="1:13" ht="24.95" customHeight="1" thickTop="1" thickBot="1" x14ac:dyDescent="0.3">
      <c r="A56" s="207"/>
      <c r="B56" s="670"/>
      <c r="C56" s="187" t="s">
        <v>38</v>
      </c>
      <c r="D56" s="63">
        <v>5</v>
      </c>
      <c r="E56" s="40"/>
      <c r="F56" s="145">
        <f>IF('R4UD_Ref'!E57=1,'R4UD_Setup'!D56,IF('R4UD_Ref'!E57=2,IF('R4UD_Ref'!D57=1,5,IF('R4UD_Ref'!D57=2,10,IF('R4UD_Ref'!D57=3,20,'R4UD_Setup'!D56))),"SELECT OPTION"))</f>
        <v>5</v>
      </c>
      <c r="G56" s="207"/>
    </row>
    <row r="57" spans="1:13" ht="24.95" customHeight="1" thickTop="1" thickBot="1" x14ac:dyDescent="0.3">
      <c r="A57" s="207"/>
      <c r="B57" s="663"/>
      <c r="C57" s="190" t="s">
        <v>39</v>
      </c>
      <c r="D57" s="64">
        <v>20</v>
      </c>
      <c r="E57" s="41"/>
      <c r="F57" s="145">
        <f>IF('R4UD_Ref'!E58=1,'R4UD_Setup'!D57,IF('R4UD_Ref'!E58=2,IF('R4UD_Ref'!D58=1,5,IF('R4UD_Ref'!D58=2,10,IF('R4UD_Ref'!D58=3,20,'R4UD_Setup'!D57))),"SELECT OPTION"))</f>
        <v>20</v>
      </c>
      <c r="G57" s="207"/>
    </row>
    <row r="58" spans="1:13" ht="5.0999999999999996" customHeight="1" thickTop="1" thickBot="1" x14ac:dyDescent="0.3">
      <c r="A58" s="207"/>
      <c r="B58" s="234"/>
      <c r="C58" s="262"/>
      <c r="D58" s="180"/>
      <c r="E58" s="307"/>
      <c r="F58" s="308"/>
      <c r="G58" s="7"/>
    </row>
    <row r="59" spans="1:13" ht="20.100000000000001" customHeight="1" thickTop="1" x14ac:dyDescent="0.25">
      <c r="A59" s="249"/>
      <c r="B59" s="654" t="s">
        <v>25</v>
      </c>
      <c r="C59" s="261" t="s">
        <v>40</v>
      </c>
      <c r="D59" s="265">
        <v>4008900</v>
      </c>
      <c r="E59" s="264">
        <v>1571053</v>
      </c>
      <c r="F59" s="146">
        <f>IF('R4UD_Ref'!$E$59=1,'R4UD_Setup'!D59,IF('R4UD_Ref'!$E$59=2,IF(E59&lt;&gt;"",'R4UD_Setup'!E59,D59),"SELECT VALUE"))</f>
        <v>1571053</v>
      </c>
      <c r="G59" s="207"/>
    </row>
    <row r="60" spans="1:13" ht="20.100000000000001" customHeight="1" x14ac:dyDescent="0.25">
      <c r="A60" s="249"/>
      <c r="B60" s="654"/>
      <c r="C60" s="187" t="s">
        <v>41</v>
      </c>
      <c r="D60" s="267">
        <v>216000</v>
      </c>
      <c r="E60" s="266">
        <v>1571053</v>
      </c>
      <c r="F60" s="146">
        <f>IF('R4UD_Ref'!$E$60=1,'R4UD_Setup'!D60,IF('R4UD_Ref'!$E$60=2,IF(E60&lt;&gt;"",'R4UD_Setup'!E60,D60),"SELECT VALUE"))</f>
        <v>1571053</v>
      </c>
      <c r="G60" s="207"/>
    </row>
    <row r="61" spans="1:13" ht="20.100000000000001" customHeight="1" x14ac:dyDescent="0.25">
      <c r="A61" s="249"/>
      <c r="B61" s="654"/>
      <c r="C61" s="187" t="s">
        <v>42</v>
      </c>
      <c r="D61" s="267">
        <v>79000</v>
      </c>
      <c r="E61" s="266">
        <v>128959</v>
      </c>
      <c r="F61" s="146">
        <f>IF('R4UD_Ref'!$E$61=1,'R4UD_Setup'!D61,IF('R4UD_Ref'!$E$61=2,IF(E61&lt;&gt;"",'R4UD_Setup'!E61,D61),"SELECT VALUE"))</f>
        <v>128959</v>
      </c>
      <c r="G61" s="207"/>
    </row>
    <row r="62" spans="1:13" ht="20.100000000000001" customHeight="1" x14ac:dyDescent="0.25">
      <c r="A62" s="249"/>
      <c r="B62" s="654"/>
      <c r="C62" s="187" t="s">
        <v>43</v>
      </c>
      <c r="D62" s="267">
        <v>44900</v>
      </c>
      <c r="E62" s="266">
        <v>128959</v>
      </c>
      <c r="F62" s="146">
        <f>IF('R4UD_Ref'!$E$62=1,'R4UD_Setup'!D62,IF('R4UD_Ref'!$E$62=2,IF(E62&lt;&gt;"",'R4UD_Setup'!E62,D62),"SELECT VALUE"))</f>
        <v>128959</v>
      </c>
      <c r="G62" s="207"/>
    </row>
    <row r="63" spans="1:13" ht="20.100000000000001" customHeight="1" thickBot="1" x14ac:dyDescent="0.3">
      <c r="A63" s="249"/>
      <c r="B63" s="655"/>
      <c r="C63" s="188" t="s">
        <v>44</v>
      </c>
      <c r="D63" s="268">
        <v>7400</v>
      </c>
      <c r="E63" s="269">
        <v>9624</v>
      </c>
      <c r="F63" s="147">
        <f>IF('R4UD_Ref'!$E$63=1,'R4UD_Setup'!D63,IF('R4UD_Ref'!$E$63=2,IF(E63&lt;&gt;"",'R4UD_Setup'!E63,D63),"SELECT VALUE"))</f>
        <v>9624</v>
      </c>
      <c r="G63" s="207"/>
      <c r="L63" s="4"/>
      <c r="M63" s="4"/>
    </row>
    <row r="64" spans="1:13" ht="15.75" customHeight="1" thickTop="1" x14ac:dyDescent="0.25">
      <c r="A64" s="207"/>
      <c r="B64" s="207"/>
      <c r="C64" s="207"/>
      <c r="D64" s="207"/>
      <c r="E64" s="207"/>
      <c r="F64" s="250"/>
      <c r="G64" s="207"/>
      <c r="J64" s="4"/>
      <c r="K64" s="309"/>
      <c r="L64" s="309"/>
      <c r="M64" s="309"/>
    </row>
    <row r="65" spans="1:14" ht="14.65" customHeight="1" thickBot="1" x14ac:dyDescent="0.3">
      <c r="A65" s="207"/>
      <c r="B65" s="207"/>
      <c r="C65" s="7"/>
      <c r="D65" s="270"/>
      <c r="E65" s="207"/>
      <c r="F65" s="7"/>
      <c r="G65" s="207"/>
      <c r="H65" s="245"/>
      <c r="I65" s="245"/>
      <c r="J65" s="4"/>
      <c r="K65" s="736" t="s">
        <v>376</v>
      </c>
      <c r="L65" s="737"/>
      <c r="M65" s="738"/>
    </row>
    <row r="66" spans="1:14" ht="16.5" thickTop="1" thickBot="1" x14ac:dyDescent="0.3">
      <c r="A66" s="207"/>
      <c r="B66" s="734" t="s">
        <v>45</v>
      </c>
      <c r="C66" s="735"/>
      <c r="D66" s="310" t="s">
        <v>6</v>
      </c>
      <c r="E66" s="302" t="s">
        <v>7</v>
      </c>
      <c r="F66" s="303" t="s">
        <v>8</v>
      </c>
      <c r="G66" s="207"/>
      <c r="H66" s="720" t="s">
        <v>342</v>
      </c>
      <c r="I66" s="721"/>
      <c r="J66" s="4"/>
      <c r="K66" s="739"/>
      <c r="L66" s="740"/>
      <c r="M66" s="741"/>
    </row>
    <row r="67" spans="1:14" ht="5.0999999999999996" customHeight="1" thickTop="1" thickBot="1" x14ac:dyDescent="0.3">
      <c r="A67" s="249"/>
      <c r="B67" s="652"/>
      <c r="C67" s="653"/>
      <c r="D67" s="210"/>
      <c r="E67" s="210"/>
      <c r="F67" s="252"/>
      <c r="G67" s="207"/>
      <c r="H67" s="722"/>
      <c r="I67" s="723"/>
      <c r="J67" s="4"/>
      <c r="K67" s="739"/>
      <c r="L67" s="740"/>
      <c r="M67" s="741"/>
    </row>
    <row r="68" spans="1:14" ht="20.100000000000001" customHeight="1" thickTop="1" thickBot="1" x14ac:dyDescent="0.3">
      <c r="A68" s="249"/>
      <c r="B68" s="727" t="s">
        <v>343</v>
      </c>
      <c r="C68" s="728"/>
      <c r="D68" s="55" t="s">
        <v>55</v>
      </c>
      <c r="E68" s="56" t="s">
        <v>56</v>
      </c>
      <c r="F68" s="205" t="str">
        <f>IF('R4UD_Ref'!E67=1,"HSM SPF",IF('R4UD_Ref'!E67=2,"User Specified","SELECT OPTION"))</f>
        <v>HSM SPF</v>
      </c>
      <c r="G68" s="207"/>
      <c r="H68" s="13" t="s">
        <v>60</v>
      </c>
      <c r="I68" s="300">
        <f>IF('R4UD_Ref'!E67=2,'R4UD_Project'!C6,0)</f>
        <v>0</v>
      </c>
      <c r="J68" s="4"/>
      <c r="K68" s="739"/>
      <c r="L68" s="740"/>
      <c r="M68" s="741"/>
    </row>
    <row r="69" spans="1:14" ht="20.100000000000001" customHeight="1" thickTop="1" thickBot="1" x14ac:dyDescent="0.3">
      <c r="A69" s="7"/>
      <c r="B69" s="727" t="s">
        <v>344</v>
      </c>
      <c r="C69" s="728"/>
      <c r="D69" s="311" t="s">
        <v>55</v>
      </c>
      <c r="E69" s="312" t="s">
        <v>56</v>
      </c>
      <c r="F69" s="205" t="str">
        <f>IF('R4UD_Ref'!G67=1,"HSM SPF",IF('R4UD_Ref'!G67=2,"User Specified","SELECT OPTION"))</f>
        <v>HSM SPF</v>
      </c>
      <c r="G69" s="271"/>
      <c r="H69" s="13" t="s">
        <v>71</v>
      </c>
      <c r="I69" s="300">
        <f>IF('R4UD_Ref'!E67=2,'R4UD_Project'!C5,0)</f>
        <v>0</v>
      </c>
      <c r="J69" s="4"/>
      <c r="K69" s="739"/>
      <c r="L69" s="740"/>
      <c r="M69" s="741"/>
    </row>
    <row r="70" spans="1:14" ht="5.0999999999999996" customHeight="1" thickTop="1" thickBot="1" x14ac:dyDescent="0.3">
      <c r="A70" s="7"/>
      <c r="B70" s="313"/>
      <c r="C70" s="153"/>
      <c r="D70" s="156"/>
      <c r="E70" s="214"/>
      <c r="F70" s="314"/>
      <c r="G70" s="295"/>
      <c r="H70" s="730" t="s">
        <v>103</v>
      </c>
      <c r="I70" s="732"/>
      <c r="J70" s="4"/>
      <c r="K70" s="739"/>
      <c r="L70" s="740"/>
      <c r="M70" s="741"/>
    </row>
    <row r="71" spans="1:14" ht="20.100000000000001" customHeight="1" thickTop="1" thickBot="1" x14ac:dyDescent="0.3">
      <c r="A71" s="249"/>
      <c r="B71" s="727" t="s">
        <v>345</v>
      </c>
      <c r="C71" s="728"/>
      <c r="D71" s="45">
        <v>1</v>
      </c>
      <c r="E71" s="97"/>
      <c r="F71" s="206">
        <f>IF('R4UD_Ref'!E68=1,'R4UD_Setup'!D71,IF('R4UD_Ref'!E68=2,IF(E71&lt;&gt;"",'R4UD_Setup'!E71,D71),"SELECT VALUE"))</f>
        <v>1</v>
      </c>
      <c r="G71" s="207"/>
      <c r="H71" s="731"/>
      <c r="I71" s="733"/>
      <c r="J71" s="3"/>
      <c r="K71" s="739"/>
      <c r="L71" s="740"/>
      <c r="M71" s="741"/>
    </row>
    <row r="72" spans="1:14" ht="20.100000000000001" customHeight="1" thickTop="1" thickBot="1" x14ac:dyDescent="0.3">
      <c r="A72" s="249"/>
      <c r="B72" s="727" t="s">
        <v>346</v>
      </c>
      <c r="C72" s="728"/>
      <c r="D72" s="315">
        <v>1</v>
      </c>
      <c r="E72" s="316"/>
      <c r="F72" s="206">
        <f>IF('R4UD_Ref'!G68=1,'R4UD_Setup'!D72,IF('R4UD_Ref'!G68=2,IF(E72&lt;&gt;"",'R4UD_Setup'!E72,D72),"SELECT VALUE"))</f>
        <v>1</v>
      </c>
      <c r="G72" s="271"/>
      <c r="H72" s="13" t="s">
        <v>325</v>
      </c>
      <c r="I72" s="25"/>
      <c r="K72" s="742"/>
      <c r="L72" s="743"/>
      <c r="M72" s="744"/>
      <c r="N72" s="4"/>
    </row>
    <row r="73" spans="1:14" ht="5.0999999999999996" customHeight="1" thickTop="1" thickBot="1" x14ac:dyDescent="0.3">
      <c r="A73" s="7"/>
      <c r="B73" s="313"/>
      <c r="C73" s="307"/>
      <c r="D73" s="317"/>
      <c r="E73" s="318"/>
      <c r="F73" s="319"/>
      <c r="G73" s="7"/>
      <c r="H73" s="602"/>
      <c r="I73" s="603"/>
      <c r="J73" s="4"/>
      <c r="K73" s="320"/>
      <c r="L73" s="320"/>
      <c r="M73" s="320"/>
      <c r="N73" s="4"/>
    </row>
    <row r="74" spans="1:14" ht="15.75" thickTop="1" x14ac:dyDescent="0.25">
      <c r="A74" s="249"/>
      <c r="B74" s="729" t="s">
        <v>48</v>
      </c>
      <c r="C74" s="38"/>
      <c r="D74" s="321"/>
      <c r="E74" s="322"/>
      <c r="F74" s="46"/>
      <c r="G74" s="207"/>
      <c r="H74" s="323"/>
      <c r="I74" s="245"/>
      <c r="J74" s="4"/>
      <c r="K74" s="320"/>
      <c r="L74" s="320"/>
      <c r="M74" s="320"/>
      <c r="N74" s="4"/>
    </row>
    <row r="75" spans="1:14" x14ac:dyDescent="0.25">
      <c r="A75" s="249"/>
      <c r="B75" s="658"/>
      <c r="C75" s="193" t="s">
        <v>347</v>
      </c>
      <c r="D75" s="194"/>
      <c r="E75" s="324"/>
      <c r="F75" s="325"/>
      <c r="G75" s="207"/>
      <c r="H75" s="565" t="s">
        <v>348</v>
      </c>
      <c r="I75" s="565"/>
      <c r="J75" s="4"/>
      <c r="K75" s="736" t="s">
        <v>377</v>
      </c>
      <c r="L75" s="737"/>
      <c r="M75" s="738"/>
    </row>
    <row r="76" spans="1:14" x14ac:dyDescent="0.25">
      <c r="A76" s="249"/>
      <c r="B76" s="658"/>
      <c r="C76" s="326" t="s">
        <v>208</v>
      </c>
      <c r="D76" s="327">
        <v>4.2000000000000003E-2</v>
      </c>
      <c r="E76" s="362">
        <v>1.17E-2</v>
      </c>
      <c r="F76" s="142">
        <f>IF('R4UD_Ref'!$E$69=1,'R4UD_Setup'!D76,IF('R4UD_Ref'!$E$69=2,IF($E$87=0,0,'R4UD_Setup'!E76/$E$87),"SELECT OPTION"))</f>
        <v>1.16988301169883E-2</v>
      </c>
      <c r="G76" s="207"/>
      <c r="H76" s="13" t="s">
        <v>60</v>
      </c>
      <c r="I76">
        <f>IF('R4UD_Ref'!G67=2,'R4UD_Project'!C6,0)</f>
        <v>0</v>
      </c>
      <c r="J76" s="10"/>
      <c r="K76" s="739"/>
      <c r="L76" s="740"/>
      <c r="M76" s="741"/>
    </row>
    <row r="77" spans="1:14" x14ac:dyDescent="0.25">
      <c r="A77" s="249"/>
      <c r="B77" s="658"/>
      <c r="C77" s="149" t="s">
        <v>209</v>
      </c>
      <c r="D77" s="327">
        <v>1.0999999999999999E-2</v>
      </c>
      <c r="E77" s="95">
        <v>8.9999999999999998E-4</v>
      </c>
      <c r="F77" s="142">
        <f>IF('R4UD_Ref'!$E$69=1,'R4UD_Setup'!D77,IF('R4UD_Ref'!$E$69=2,IF($E$87=0,0,'R4UD_Setup'!E77/$E$87),"SELECT OPTION"))</f>
        <v>8.9991000899909983E-4</v>
      </c>
      <c r="G77" s="207"/>
      <c r="H77" s="13" t="s">
        <v>71</v>
      </c>
      <c r="I77" s="328">
        <f>IF('R4UD_Ref'!G67=2,'R4UD_Project'!C5,0)</f>
        <v>0</v>
      </c>
      <c r="J77" s="10"/>
      <c r="K77" s="739"/>
      <c r="L77" s="740"/>
      <c r="M77" s="741"/>
    </row>
    <row r="78" spans="1:14" ht="15" customHeight="1" x14ac:dyDescent="0.25">
      <c r="A78" s="249"/>
      <c r="B78" s="658"/>
      <c r="C78" s="192" t="s">
        <v>210</v>
      </c>
      <c r="D78" s="327">
        <v>1.4E-2</v>
      </c>
      <c r="E78" s="94">
        <v>3.5000000000000001E-3</v>
      </c>
      <c r="F78" s="142">
        <f>IF('R4UD_Ref'!$E$69=1,'R4UD_Setup'!D78,IF('R4UD_Ref'!$E$69=2,IF($E$87=0,0,'R4UD_Setup'!E78/$E$87),"SELECT OPTION"))</f>
        <v>3.4996500349964996E-3</v>
      </c>
      <c r="G78" s="207"/>
      <c r="H78" s="13" t="s">
        <v>103</v>
      </c>
      <c r="I78" s="25"/>
      <c r="J78" s="4"/>
      <c r="K78" s="739"/>
      <c r="L78" s="740"/>
      <c r="M78" s="741"/>
    </row>
    <row r="79" spans="1:14" ht="15.75" customHeight="1" x14ac:dyDescent="0.25">
      <c r="A79" s="249"/>
      <c r="B79" s="658"/>
      <c r="C79" s="191" t="s">
        <v>211</v>
      </c>
      <c r="D79" s="327">
        <v>4.8000000000000001E-2</v>
      </c>
      <c r="E79" s="95">
        <v>7.7999999999999996E-3</v>
      </c>
      <c r="F79" s="142">
        <f>IF('R4UD_Ref'!$E$69=1,'R4UD_Setup'!D79,IF('R4UD_Ref'!$E$69=2,IF($E$87=0,0,'R4UD_Setup'!E79/$E$87),"SELECT OPTION"))</f>
        <v>7.7992200779921986E-3</v>
      </c>
      <c r="G79" s="207"/>
      <c r="H79" s="284" t="s">
        <v>325</v>
      </c>
      <c r="I79" s="25"/>
      <c r="J79" s="4"/>
      <c r="K79" s="739"/>
      <c r="L79" s="740"/>
      <c r="M79" s="741"/>
      <c r="N79" s="216"/>
    </row>
    <row r="80" spans="1:14" ht="15.75" customHeight="1" x14ac:dyDescent="0.25">
      <c r="A80" s="249"/>
      <c r="B80" s="658"/>
      <c r="C80" s="191" t="s">
        <v>212</v>
      </c>
      <c r="D80" s="327">
        <v>0.14399999999999999</v>
      </c>
      <c r="E80" s="95">
        <v>0.1074</v>
      </c>
      <c r="F80" s="142">
        <f>IF('R4UD_Ref'!$E$69=1,'R4UD_Setup'!D80,IF('R4UD_Ref'!$E$69=2,IF($E$87=0,0,'R4UD_Setup'!E80/$E$87),"SELECT OPTION"))</f>
        <v>0.10738926107389259</v>
      </c>
      <c r="G80" s="207"/>
      <c r="H80" s="216"/>
      <c r="I80" s="216"/>
      <c r="J80" s="216"/>
      <c r="K80" s="739"/>
      <c r="L80" s="740"/>
      <c r="M80" s="741"/>
      <c r="N80" s="216"/>
    </row>
    <row r="81" spans="1:14" ht="15.75" customHeight="1" x14ac:dyDescent="0.25">
      <c r="A81" s="249"/>
      <c r="B81" s="658"/>
      <c r="C81" s="149" t="s">
        <v>213</v>
      </c>
      <c r="D81" s="327">
        <v>1.2999999999999999E-2</v>
      </c>
      <c r="E81" s="99">
        <v>1.5599999999999999E-2</v>
      </c>
      <c r="F81" s="142">
        <f>IF('R4UD_Ref'!$E$69=1,'R4UD_Setup'!D81,IF('R4UD_Ref'!$E$69=2,IF($E$87=0,0,'R4UD_Setup'!E81/$E$87),"SELECT OPTION"))</f>
        <v>1.5598440155984397E-2</v>
      </c>
      <c r="G81" s="207"/>
      <c r="H81" s="216"/>
      <c r="I81" s="216"/>
      <c r="J81" s="216"/>
      <c r="K81" s="739"/>
      <c r="L81" s="740"/>
      <c r="M81" s="741"/>
      <c r="N81" s="216"/>
    </row>
    <row r="82" spans="1:14" ht="15.75" customHeight="1" x14ac:dyDescent="0.25">
      <c r="A82" s="249"/>
      <c r="B82" s="658"/>
      <c r="C82" s="149" t="s">
        <v>214</v>
      </c>
      <c r="D82" s="329">
        <v>0.192</v>
      </c>
      <c r="E82" s="99">
        <v>0.31530000000000002</v>
      </c>
      <c r="F82" s="142">
        <f>IF('R4UD_Ref'!$E$69=1,'R4UD_Setup'!D82,IF('R4UD_Ref'!$E$69=2,IF($E$87=0,0,'R4UD_Setup'!E82/$E$87),"SELECT OPTION"))</f>
        <v>0.31526847315268469</v>
      </c>
      <c r="G82" s="207"/>
      <c r="H82" s="216"/>
      <c r="I82" s="216"/>
      <c r="J82" s="216"/>
      <c r="K82" s="742"/>
      <c r="L82" s="743"/>
      <c r="M82" s="744"/>
      <c r="N82" s="216"/>
    </row>
    <row r="83" spans="1:14" ht="15.75" customHeight="1" x14ac:dyDescent="0.25">
      <c r="A83" s="249"/>
      <c r="B83" s="658"/>
      <c r="C83" s="149" t="s">
        <v>215</v>
      </c>
      <c r="D83" s="329">
        <v>5.0000000000000001E-3</v>
      </c>
      <c r="E83" s="99">
        <v>2.0199999999999999E-2</v>
      </c>
      <c r="F83" s="142">
        <f>IF('R4UD_Ref'!$E$69=1,'R4UD_Setup'!D83,IF('R4UD_Ref'!$E$69=2,IF($E$87=0,0,'R4UD_Setup'!E83/$E$87),"SELECT OPTION"))</f>
        <v>2.0197980201979798E-2</v>
      </c>
      <c r="G83" s="207"/>
      <c r="H83" s="216"/>
      <c r="I83" s="216"/>
      <c r="J83" s="216"/>
      <c r="K83" s="216"/>
      <c r="L83" s="216"/>
      <c r="M83" s="216"/>
      <c r="N83" s="216"/>
    </row>
    <row r="84" spans="1:14" ht="15.75" customHeight="1" x14ac:dyDescent="0.25">
      <c r="A84" s="249"/>
      <c r="B84" s="658"/>
      <c r="C84" s="149" t="s">
        <v>216</v>
      </c>
      <c r="D84" s="329">
        <v>0.255</v>
      </c>
      <c r="E84" s="99">
        <v>0.40350000000000003</v>
      </c>
      <c r="F84" s="142">
        <f>IF('R4UD_Ref'!$E$69=1,'R4UD_Setup'!D84,IF('R4UD_Ref'!$E$69=2,IF($E$87=0,0,'R4UD_Setup'!E84/$E$87),"SELECT OPTION"))</f>
        <v>0.40345965403459649</v>
      </c>
      <c r="G84" s="207"/>
      <c r="H84" s="216"/>
      <c r="I84" s="216"/>
      <c r="J84" s="216"/>
      <c r="K84" s="216"/>
      <c r="L84" s="216"/>
      <c r="M84" s="216"/>
      <c r="N84" s="216"/>
    </row>
    <row r="85" spans="1:14" ht="15.75" customHeight="1" x14ac:dyDescent="0.25">
      <c r="A85" s="249"/>
      <c r="B85" s="658"/>
      <c r="C85" s="149" t="s">
        <v>217</v>
      </c>
      <c r="D85" s="329">
        <v>6.5000000000000002E-2</v>
      </c>
      <c r="E85" s="99">
        <v>0.1046</v>
      </c>
      <c r="F85" s="142">
        <f>IF('R4UD_Ref'!$E$69=1,'R4UD_Setup'!D85,IF('R4UD_Ref'!$E$69=2,IF($E$87=0,0,'R4UD_Setup'!E85/$E$87),"SELECT OPTION"))</f>
        <v>0.10458954104589539</v>
      </c>
      <c r="G85" s="207"/>
      <c r="H85" s="216"/>
      <c r="I85" s="216"/>
      <c r="J85" s="216"/>
      <c r="K85" s="216"/>
      <c r="L85" s="216"/>
      <c r="M85" s="216"/>
      <c r="N85" s="216"/>
    </row>
    <row r="86" spans="1:14" ht="15.75" customHeight="1" x14ac:dyDescent="0.25">
      <c r="A86" s="249"/>
      <c r="B86" s="658"/>
      <c r="C86" s="149" t="s">
        <v>218</v>
      </c>
      <c r="D86" s="330">
        <v>0.21099999999999999</v>
      </c>
      <c r="E86" s="99">
        <v>9.5999999999999992E-3</v>
      </c>
      <c r="F86" s="142">
        <f>IF('R4UD_Ref'!$E$69=1,'R4UD_Setup'!D86,IF('R4UD_Ref'!$E$69=2,IF($E$87=0,0,'R4UD_Setup'!E86/$E$87),"SELECT OPTION"))</f>
        <v>9.5990400959903976E-3</v>
      </c>
      <c r="G86" s="207"/>
      <c r="H86" s="216"/>
      <c r="I86" s="216"/>
      <c r="J86" s="216"/>
      <c r="K86" s="216"/>
      <c r="L86" s="216"/>
      <c r="M86" s="216"/>
      <c r="N86" s="216"/>
    </row>
    <row r="87" spans="1:14" ht="15.75" customHeight="1" thickBot="1" x14ac:dyDescent="0.3">
      <c r="A87" s="249"/>
      <c r="B87" s="658"/>
      <c r="C87" s="193" t="s">
        <v>221</v>
      </c>
      <c r="D87" s="367">
        <f>SUM(D76:D86)</f>
        <v>0.99999999999999989</v>
      </c>
      <c r="E87" s="201">
        <f>SUM(E76:E86)</f>
        <v>1.0001000000000002</v>
      </c>
      <c r="F87" s="200">
        <f>SUM(F76:F86)</f>
        <v>0.99999999999999989</v>
      </c>
      <c r="G87" s="272" t="str">
        <f>IF(AND(E87&gt;=0.95,E87&lt;=1.05),IF(AND(E87&lt;&gt;1,'R4UD_Ref'!$E$69=2),"Crash type proportions adjusted to sum to 100%",""),IF('R4UD_Ref'!$E$69=2,"Enter crash type proportions that sum to 100% or select HSM default values",""))</f>
        <v>Crash type proportions adjusted to sum to 100%</v>
      </c>
      <c r="H87" s="216"/>
      <c r="I87" s="216"/>
      <c r="J87" s="216"/>
      <c r="K87" s="216"/>
      <c r="L87" s="216"/>
      <c r="M87" s="216"/>
      <c r="N87" s="216"/>
    </row>
    <row r="88" spans="1:14" ht="15.75" customHeight="1" thickTop="1" thickBot="1" x14ac:dyDescent="0.3">
      <c r="A88" s="249"/>
      <c r="B88" s="658"/>
      <c r="C88" s="331"/>
      <c r="D88" s="332"/>
      <c r="E88" s="332"/>
      <c r="F88" s="333"/>
      <c r="G88" s="334"/>
    </row>
    <row r="89" spans="1:14" ht="15.75" customHeight="1" thickTop="1" x14ac:dyDescent="0.25">
      <c r="A89" s="249"/>
      <c r="B89" s="658"/>
      <c r="C89" s="193" t="s">
        <v>349</v>
      </c>
      <c r="D89" s="335"/>
      <c r="E89" s="336"/>
      <c r="F89" s="337"/>
      <c r="G89" s="334"/>
    </row>
    <row r="90" spans="1:14" ht="15.75" customHeight="1" x14ac:dyDescent="0.25">
      <c r="A90" s="249"/>
      <c r="B90" s="658"/>
      <c r="C90" s="326" t="s">
        <v>208</v>
      </c>
      <c r="D90" s="338">
        <v>0.128</v>
      </c>
      <c r="E90" s="363">
        <v>1.17E-2</v>
      </c>
      <c r="F90" s="142">
        <f>IF('R4UD_Ref'!$E$69=1,'R4UD_Setup'!D90,IF('R4UD_Ref'!$E$69=2,IF($E$101=0,0,'R4UD_Setup'!E90/$E$101),"SELECT OPTION"))</f>
        <v>1.1699415029248537E-2</v>
      </c>
      <c r="G90" s="334"/>
    </row>
    <row r="91" spans="1:14" ht="15.75" customHeight="1" x14ac:dyDescent="0.25">
      <c r="A91" s="249"/>
      <c r="B91" s="658"/>
      <c r="C91" s="326" t="s">
        <v>209</v>
      </c>
      <c r="D91" s="338">
        <v>1E-3</v>
      </c>
      <c r="E91" s="363">
        <v>8.9999999999999998E-4</v>
      </c>
      <c r="F91" s="142">
        <f>IF('R4UD_Ref'!$E$69=1,'R4UD_Setup'!D91,IF('R4UD_Ref'!$E$69=2,IF($E$101=0,0,'R4UD_Setup'!E91/$E$101),"SELECT OPTION"))</f>
        <v>8.9995500224988737E-4</v>
      </c>
      <c r="G91" s="334"/>
    </row>
    <row r="92" spans="1:14" ht="15.75" customHeight="1" x14ac:dyDescent="0.25">
      <c r="A92" s="249"/>
      <c r="B92" s="658"/>
      <c r="C92" s="326" t="s">
        <v>210</v>
      </c>
      <c r="D92" s="338">
        <v>2E-3</v>
      </c>
      <c r="E92" s="363">
        <v>3.5000000000000001E-3</v>
      </c>
      <c r="F92" s="142">
        <f>IF('R4UD_Ref'!$E$69=1,'R4UD_Setup'!D92,IF('R4UD_Ref'!$E$69=2,IF($E$101=0,0,'R4UD_Setup'!E92/$E$101),"SELECT OPTION"))</f>
        <v>3.4998250087495621E-3</v>
      </c>
      <c r="G92" s="334"/>
    </row>
    <row r="93" spans="1:14" ht="15.75" customHeight="1" x14ac:dyDescent="0.25">
      <c r="A93" s="249"/>
      <c r="B93" s="658"/>
      <c r="C93" s="326" t="s">
        <v>211</v>
      </c>
      <c r="D93" s="338">
        <v>0.159</v>
      </c>
      <c r="E93" s="363">
        <v>7.7999999999999996E-3</v>
      </c>
      <c r="F93" s="142">
        <f>IF('R4UD_Ref'!$E$69=1,'R4UD_Setup'!D93,IF('R4UD_Ref'!$E$69=2,IF($E$101=0,0,'R4UD_Setup'!E93/$E$101),"SELECT OPTION"))</f>
        <v>7.7996100194990241E-3</v>
      </c>
      <c r="G93" s="334"/>
    </row>
    <row r="94" spans="1:14" ht="15.75" customHeight="1" x14ac:dyDescent="0.25">
      <c r="A94" s="249"/>
      <c r="B94" s="658"/>
      <c r="C94" s="326" t="s">
        <v>212</v>
      </c>
      <c r="D94" s="338">
        <v>0.29899999999999999</v>
      </c>
      <c r="E94" s="363">
        <v>0.1074</v>
      </c>
      <c r="F94" s="142">
        <f>IF('R4UD_Ref'!$E$69=1,'R4UD_Setup'!D94,IF('R4UD_Ref'!$E$69=2,IF($E$101=0,0,'R4UD_Setup'!E94/$E$101),"SELECT OPTION"))</f>
        <v>0.10739463026848656</v>
      </c>
      <c r="G94" s="334"/>
    </row>
    <row r="95" spans="1:14" ht="15.75" customHeight="1" x14ac:dyDescent="0.25">
      <c r="A95" s="249"/>
      <c r="B95" s="658"/>
      <c r="C95" s="326" t="s">
        <v>213</v>
      </c>
      <c r="D95" s="338">
        <v>3.5999999999999997E-2</v>
      </c>
      <c r="E95" s="363">
        <v>1.5599999999999999E-2</v>
      </c>
      <c r="F95" s="142">
        <f>IF('R4UD_Ref'!$E$69=1,'R4UD_Setup'!D95,IF('R4UD_Ref'!$E$69=2,IF($E$101=0,0,'R4UD_Setup'!E95/$E$101),"SELECT OPTION"))</f>
        <v>1.5599220038998048E-2</v>
      </c>
      <c r="G95" s="334"/>
    </row>
    <row r="96" spans="1:14" ht="15.75" customHeight="1" x14ac:dyDescent="0.25">
      <c r="A96" s="249"/>
      <c r="B96" s="658"/>
      <c r="C96" s="149" t="s">
        <v>214</v>
      </c>
      <c r="D96" s="338">
        <v>0.124</v>
      </c>
      <c r="E96" s="363">
        <v>0.31530000000000002</v>
      </c>
      <c r="F96" s="142">
        <f>IF('R4UD_Ref'!$E$69=1,'R4UD_Setup'!D96,IF('R4UD_Ref'!$E$69=2,IF($E$101=0,0,'R4UD_Setup'!E96/$E$101),"SELECT OPTION"))</f>
        <v>0.31528423578821058</v>
      </c>
      <c r="G96" s="334"/>
    </row>
    <row r="97" spans="1:14" ht="15.75" customHeight="1" x14ac:dyDescent="0.25">
      <c r="A97" s="249"/>
      <c r="B97" s="658"/>
      <c r="C97" s="192" t="s">
        <v>215</v>
      </c>
      <c r="D97" s="338">
        <v>6.0000000000000001E-3</v>
      </c>
      <c r="E97" s="363">
        <v>2.0199999999999999E-2</v>
      </c>
      <c r="F97" s="142">
        <f>IF('R4UD_Ref'!$E$69=1,'R4UD_Setup'!D97,IF('R4UD_Ref'!$E$69=2,IF($E$101=0,0,'R4UD_Setup'!E97/$E$101),"SELECT OPTION"))</f>
        <v>2.0198990050497471E-2</v>
      </c>
      <c r="G97" s="334"/>
    </row>
    <row r="98" spans="1:14" ht="15.75" customHeight="1" x14ac:dyDescent="0.25">
      <c r="A98" s="249"/>
      <c r="B98" s="658"/>
      <c r="C98" s="191" t="s">
        <v>216</v>
      </c>
      <c r="D98" s="338">
        <v>0.14099999999999999</v>
      </c>
      <c r="E98" s="363">
        <v>0.40344999999999998</v>
      </c>
      <c r="F98" s="142">
        <f>IF('R4UD_Ref'!$E$69=1,'R4UD_Setup'!D98,IF('R4UD_Ref'!$E$69=2,IF($E$101=0,0,'R4UD_Setup'!E98/$E$101),"SELECT OPTION"))</f>
        <v>0.40342982850857451</v>
      </c>
      <c r="G98" s="334"/>
    </row>
    <row r="99" spans="1:14" ht="15.75" customHeight="1" x14ac:dyDescent="0.25">
      <c r="A99" s="249"/>
      <c r="B99" s="658"/>
      <c r="C99" s="191" t="s">
        <v>217</v>
      </c>
      <c r="D99" s="338">
        <v>4.5999999999999999E-2</v>
      </c>
      <c r="E99" s="364">
        <v>0.1046</v>
      </c>
      <c r="F99" s="142">
        <f>IF('R4UD_Ref'!$E$69=1,'R4UD_Setup'!D99,IF('R4UD_Ref'!$E$69=2,IF($E$101=0,0,'R4UD_Setup'!E99/$E$101),"SELECT OPTION"))</f>
        <v>0.10459477026148692</v>
      </c>
      <c r="G99" s="334"/>
      <c r="H99" s="216"/>
      <c r="I99" s="216"/>
      <c r="J99" s="216"/>
      <c r="K99" s="216"/>
      <c r="L99" s="216"/>
      <c r="M99" s="216"/>
      <c r="N99" s="216"/>
    </row>
    <row r="100" spans="1:14" ht="15.75" customHeight="1" x14ac:dyDescent="0.25">
      <c r="A100" s="249"/>
      <c r="B100" s="658"/>
      <c r="C100" s="149" t="s">
        <v>218</v>
      </c>
      <c r="D100" s="339">
        <v>5.8000000000000003E-2</v>
      </c>
      <c r="E100" s="363">
        <v>9.5999999999999992E-3</v>
      </c>
      <c r="F100" s="142">
        <f>IF('R4UD_Ref'!$E$69=1,'R4UD_Setup'!D100,IF('R4UD_Ref'!$E$69=2,IF($E$101=0,0,'R4UD_Setup'!E100/$E$101),"SELECT OPTION"))</f>
        <v>9.599520023998798E-3</v>
      </c>
      <c r="G100" s="334"/>
      <c r="H100" s="216"/>
      <c r="I100" s="216"/>
      <c r="J100" s="216"/>
      <c r="K100" s="216"/>
      <c r="L100" s="216"/>
      <c r="M100" s="216"/>
      <c r="N100" s="216"/>
    </row>
    <row r="101" spans="1:14" ht="15" customHeight="1" thickBot="1" x14ac:dyDescent="0.3">
      <c r="A101" s="249"/>
      <c r="B101" s="659"/>
      <c r="C101" s="199" t="s">
        <v>221</v>
      </c>
      <c r="D101" s="200">
        <f>SUM(D90:D100)</f>
        <v>1</v>
      </c>
      <c r="E101" s="201">
        <f>SUM(E90:E100)</f>
        <v>1.0000500000000001</v>
      </c>
      <c r="F101" s="200">
        <f>SUM(F90:F100)</f>
        <v>0.99999999999999989</v>
      </c>
      <c r="G101" s="272" t="str">
        <f>IF(AND(E101&gt;=0.95,E101&lt;=1.05),IF(AND(E101&lt;&gt;1,'R4UD_Ref'!$E$69=2),"Crash type proportions adjusted to sum to 100%",""),IF('R4UD_Ref'!$E$69=2,"Enter crash type proportions that sum to 100% or select HSM default values",""))</f>
        <v>Crash type proportions adjusted to sum to 100%</v>
      </c>
      <c r="H101" s="216"/>
      <c r="I101" s="216"/>
      <c r="J101" s="216"/>
      <c r="K101" s="216"/>
      <c r="L101" s="216"/>
      <c r="M101" s="216"/>
      <c r="N101" s="216"/>
    </row>
    <row r="102" spans="1:14" ht="5.0999999999999996" customHeight="1" thickTop="1" thickBot="1" x14ac:dyDescent="0.3">
      <c r="A102" s="7"/>
      <c r="B102" s="234"/>
      <c r="C102" s="208"/>
      <c r="D102" s="176"/>
      <c r="E102" s="209"/>
      <c r="F102" s="340"/>
      <c r="G102" s="341"/>
    </row>
    <row r="103" spans="1:14" ht="15.75" customHeight="1" thickTop="1" x14ac:dyDescent="0.25">
      <c r="A103" s="7"/>
      <c r="B103" s="724" t="s">
        <v>49</v>
      </c>
      <c r="C103" s="49"/>
      <c r="D103" s="48"/>
      <c r="E103" s="50"/>
      <c r="F103" s="51"/>
      <c r="G103" s="7"/>
    </row>
    <row r="104" spans="1:14" x14ac:dyDescent="0.25">
      <c r="A104" s="7"/>
      <c r="B104" s="725"/>
      <c r="C104" s="193" t="s">
        <v>347</v>
      </c>
      <c r="D104" s="342"/>
      <c r="E104" s="343"/>
      <c r="F104" s="215"/>
      <c r="G104" s="207"/>
    </row>
    <row r="105" spans="1:14" x14ac:dyDescent="0.25">
      <c r="A105" s="7"/>
      <c r="B105" s="725"/>
      <c r="C105" s="149" t="s">
        <v>222</v>
      </c>
      <c r="D105" s="37">
        <v>7.0000000000000001E-3</v>
      </c>
      <c r="E105" s="95">
        <v>7.0000000000000001E-3</v>
      </c>
      <c r="F105" s="142">
        <f>IF('R4UD_Ref'!$E$73=1,'R4UD_Setup'!D105,IF('R4UD_Ref'!$E$73=2,IF($E$110=0,0,'R4UD_Setup'!E105/$E$110),"SELECT OPTION"))</f>
        <v>7.0000000000000001E-3</v>
      </c>
      <c r="G105" s="207"/>
    </row>
    <row r="106" spans="1:14" x14ac:dyDescent="0.25">
      <c r="A106" s="7"/>
      <c r="B106" s="725"/>
      <c r="C106" s="149" t="s">
        <v>223</v>
      </c>
      <c r="D106" s="37">
        <v>3.1E-2</v>
      </c>
      <c r="E106" s="95">
        <v>3.4000000000000002E-2</v>
      </c>
      <c r="F106" s="142">
        <f>IF('R4UD_Ref'!$E$73=1,'R4UD_Setup'!D106,IF('R4UD_Ref'!$E$73=2,IF($E$110=0,0,'R4UD_Setup'!E106/$E$110),"SELECT OPTION"))</f>
        <v>3.4000000000000002E-2</v>
      </c>
      <c r="G106" s="207"/>
      <c r="H106" s="217"/>
      <c r="I106" s="217"/>
      <c r="J106" s="217"/>
      <c r="K106" s="217"/>
      <c r="L106" s="217"/>
      <c r="M106" s="217"/>
      <c r="N106" s="217"/>
    </row>
    <row r="107" spans="1:14" x14ac:dyDescent="0.25">
      <c r="A107" s="7"/>
      <c r="B107" s="725"/>
      <c r="C107" s="149" t="s">
        <v>224</v>
      </c>
      <c r="D107" s="37">
        <v>0.104</v>
      </c>
      <c r="E107" s="95">
        <v>9.2999999999999999E-2</v>
      </c>
      <c r="F107" s="142">
        <f>IF('R4UD_Ref'!$E$73=1,'R4UD_Setup'!D107,IF('R4UD_Ref'!$E$73=2,IF($E$110=0,0,'R4UD_Setup'!E107/$E$110),"SELECT OPTION"))</f>
        <v>9.2999999999999999E-2</v>
      </c>
      <c r="G107" s="207"/>
      <c r="H107" s="217"/>
      <c r="I107" s="217"/>
      <c r="J107" s="217"/>
      <c r="K107" s="217"/>
      <c r="L107" s="217"/>
      <c r="M107" s="217"/>
      <c r="N107" s="217"/>
    </row>
    <row r="108" spans="1:14" x14ac:dyDescent="0.25">
      <c r="A108" s="7"/>
      <c r="B108" s="725"/>
      <c r="C108" s="149" t="s">
        <v>225</v>
      </c>
      <c r="D108" s="37">
        <v>0.188</v>
      </c>
      <c r="E108" s="95">
        <v>7.9000000000000001E-2</v>
      </c>
      <c r="F108" s="142">
        <f>IF('R4UD_Ref'!$E$73=1,'R4UD_Setup'!D108,IF('R4UD_Ref'!$E$73=2,IF($E$110=0,0,'R4UD_Setup'!E108/$E$110),"SELECT OPTION"))</f>
        <v>7.9000000000000001E-2</v>
      </c>
      <c r="G108" s="207"/>
      <c r="H108" s="217"/>
      <c r="I108" s="217"/>
      <c r="J108" s="217"/>
      <c r="K108" s="217"/>
      <c r="L108" s="217"/>
      <c r="M108" s="217"/>
      <c r="N108" s="217"/>
    </row>
    <row r="109" spans="1:14" x14ac:dyDescent="0.25">
      <c r="A109" s="7"/>
      <c r="B109" s="725"/>
      <c r="C109" s="149" t="s">
        <v>226</v>
      </c>
      <c r="D109" s="344">
        <v>0.67</v>
      </c>
      <c r="E109" s="365">
        <v>0.78700000000000003</v>
      </c>
      <c r="F109" s="142">
        <f>IF('R4UD_Ref'!$E$73=1,'R4UD_Setup'!D109,IF('R4UD_Ref'!$E$73=2,IF($E$110=0,0,'R4UD_Setup'!E109/$E$110),"SELECT OPTION"))</f>
        <v>0.78700000000000003</v>
      </c>
      <c r="G109" s="274"/>
      <c r="H109" s="217"/>
      <c r="I109" s="217"/>
      <c r="J109" s="217"/>
      <c r="K109" s="217"/>
      <c r="L109" s="217"/>
      <c r="M109" s="217"/>
      <c r="N109" s="217"/>
    </row>
    <row r="110" spans="1:14" ht="15.75" thickBot="1" x14ac:dyDescent="0.3">
      <c r="A110" s="207"/>
      <c r="B110" s="725"/>
      <c r="C110" s="193" t="s">
        <v>221</v>
      </c>
      <c r="D110" s="345">
        <f>SUM(D105:D109)</f>
        <v>1</v>
      </c>
      <c r="E110" s="346">
        <f>SUM(E105:E109)</f>
        <v>1</v>
      </c>
      <c r="F110" s="204">
        <f>SUM(F105:F109)</f>
        <v>1</v>
      </c>
      <c r="G110" s="274" t="str">
        <f>IF(AND(E109&gt;=0.95,E109&lt;=1.05),IF(AND(E109&lt;&gt;1,'R4UD_Ref'!E73=2),"Crash severity proportions adjusted to sum to 100%",""),IF('R4UD_Ref'!E73=2,"Enter crash severity proportions that sum to 100% or select HSM default values",""))</f>
        <v>Enter crash severity proportions that sum to 100% or select HSM default values</v>
      </c>
      <c r="H110" s="217"/>
      <c r="I110" s="217"/>
      <c r="J110" s="217"/>
      <c r="K110" s="217"/>
      <c r="L110" s="217"/>
      <c r="M110" s="217"/>
      <c r="N110" s="217"/>
    </row>
    <row r="111" spans="1:14" ht="16.5" thickTop="1" thickBot="1" x14ac:dyDescent="0.3">
      <c r="A111" s="7"/>
      <c r="B111" s="725"/>
      <c r="C111" s="347"/>
      <c r="D111" s="348"/>
      <c r="E111" s="348"/>
      <c r="F111" s="348"/>
      <c r="G111" s="251"/>
    </row>
    <row r="112" spans="1:14" ht="15.75" thickTop="1" x14ac:dyDescent="0.25">
      <c r="A112" s="7"/>
      <c r="B112" s="725"/>
      <c r="C112" s="193" t="s">
        <v>349</v>
      </c>
      <c r="D112" s="349"/>
      <c r="E112" s="350"/>
      <c r="F112" s="351"/>
      <c r="G112" s="207"/>
    </row>
    <row r="113" spans="1:14" x14ac:dyDescent="0.25">
      <c r="A113" s="7"/>
      <c r="B113" s="725"/>
      <c r="C113" s="149" t="s">
        <v>222</v>
      </c>
      <c r="D113" s="37">
        <v>1.2999999999999999E-2</v>
      </c>
      <c r="E113" s="95">
        <v>7.0000000000000001E-3</v>
      </c>
      <c r="F113" s="142">
        <f>IF('R4UD_Ref'!$E$73=1,'R4UD_Setup'!D113,IF('R4UD_Ref'!$E$73=2,IF($E$118=0,0,'R4UD_Setup'!E113/$E$118),"SELECT OPTION"))</f>
        <v>7.0000000000000001E-3</v>
      </c>
      <c r="G113" s="207"/>
    </row>
    <row r="114" spans="1:14" x14ac:dyDescent="0.25">
      <c r="A114" s="7"/>
      <c r="B114" s="725"/>
      <c r="C114" s="149" t="s">
        <v>223</v>
      </c>
      <c r="D114" s="37">
        <v>0.04</v>
      </c>
      <c r="E114" s="95">
        <v>3.4000000000000002E-2</v>
      </c>
      <c r="F114" s="142">
        <f>IF('R4UD_Ref'!$E$73=1,'R4UD_Setup'!D114,IF('R4UD_Ref'!$E$73=2,IF($E$118=0,0,'R4UD_Setup'!E114/$E$118),"SELECT OPTION"))</f>
        <v>3.4000000000000002E-2</v>
      </c>
      <c r="G114" s="207"/>
      <c r="H114" s="217"/>
      <c r="I114" s="217"/>
      <c r="J114" s="217"/>
      <c r="K114" s="217"/>
      <c r="L114" s="217"/>
      <c r="M114" s="217"/>
      <c r="N114" s="217"/>
    </row>
    <row r="115" spans="1:14" x14ac:dyDescent="0.25">
      <c r="A115" s="7"/>
      <c r="B115" s="725"/>
      <c r="C115" s="149" t="s">
        <v>224</v>
      </c>
      <c r="D115" s="37">
        <v>0.17100000000000001</v>
      </c>
      <c r="E115" s="95">
        <v>9.2999999999999999E-2</v>
      </c>
      <c r="F115" s="142">
        <f>IF('R4UD_Ref'!$E$73=1,'R4UD_Setup'!D115,IF('R4UD_Ref'!$E$73=2,IF($E$118=0,0,'R4UD_Setup'!E115/$E$118),"SELECT OPTION"))</f>
        <v>9.2999999999999999E-2</v>
      </c>
      <c r="G115" s="207"/>
      <c r="H115" s="217"/>
      <c r="I115" s="217"/>
      <c r="J115" s="217"/>
      <c r="K115" s="217"/>
      <c r="L115" s="217"/>
      <c r="M115" s="217"/>
      <c r="N115" s="217"/>
    </row>
    <row r="116" spans="1:14" x14ac:dyDescent="0.25">
      <c r="A116" s="7"/>
      <c r="B116" s="725"/>
      <c r="C116" s="149" t="s">
        <v>225</v>
      </c>
      <c r="D116" s="37">
        <v>0.17399999999999999</v>
      </c>
      <c r="E116" s="95">
        <v>7.9000000000000001E-2</v>
      </c>
      <c r="F116" s="142">
        <f>IF('R4UD_Ref'!$E$73=1,'R4UD_Setup'!D116,IF('R4UD_Ref'!$E$73=2,IF($E$118=0,0,'R4UD_Setup'!E116/$E$118),"SELECT OPTION"))</f>
        <v>7.9000000000000001E-2</v>
      </c>
      <c r="G116" s="207"/>
      <c r="H116" s="217"/>
      <c r="I116" s="217"/>
      <c r="J116" s="217"/>
      <c r="K116" s="217"/>
      <c r="L116" s="217"/>
      <c r="M116" s="217"/>
      <c r="N116" s="217"/>
    </row>
    <row r="117" spans="1:14" x14ac:dyDescent="0.25">
      <c r="A117" s="7"/>
      <c r="B117" s="725"/>
      <c r="C117" s="149" t="s">
        <v>226</v>
      </c>
      <c r="D117" s="344">
        <v>0.60199999999999998</v>
      </c>
      <c r="E117" s="365">
        <v>0.78700000000000003</v>
      </c>
      <c r="F117" s="142">
        <f>IF('R4UD_Ref'!$E$73=1,'R4UD_Setup'!D117,IF('R4UD_Ref'!$E$73=2,IF($E$118=0,0,'R4UD_Setup'!E117/$E$118),"SELECT OPTION"))</f>
        <v>0.78700000000000003</v>
      </c>
      <c r="G117" s="274"/>
      <c r="H117" s="217"/>
      <c r="I117" s="217"/>
      <c r="J117" s="217"/>
      <c r="K117" s="217"/>
      <c r="L117" s="217"/>
      <c r="M117" s="217"/>
      <c r="N117" s="217"/>
    </row>
    <row r="118" spans="1:14" ht="15.75" thickBot="1" x14ac:dyDescent="0.3">
      <c r="A118" s="7"/>
      <c r="B118" s="726"/>
      <c r="C118" s="199" t="s">
        <v>221</v>
      </c>
      <c r="D118" s="345">
        <f>SUM(D113:D117)</f>
        <v>1</v>
      </c>
      <c r="E118" s="346">
        <f>SUM(E113:E117)</f>
        <v>1</v>
      </c>
      <c r="F118" s="204">
        <f>SUM(F113:F117)</f>
        <v>1</v>
      </c>
      <c r="G118" s="274" t="str">
        <f>IF(AND(E117&gt;=0.95,E117&lt;=1.05),IF(AND(E117&lt;&gt;1,'R4UD_Ref'!E73=2),"Crash severity proportions adjusted to sum to 100%",""),IF('R4UD_Ref'!E73=2,"Enter crash severity proportions that sum to 100% or select HSM default values",""))</f>
        <v>Enter crash severity proportions that sum to 100% or select HSM default values</v>
      </c>
      <c r="H118" s="217"/>
      <c r="I118" s="217"/>
      <c r="J118" s="217"/>
      <c r="K118" s="217"/>
      <c r="L118" s="217"/>
      <c r="M118" s="217"/>
      <c r="N118" s="217"/>
    </row>
    <row r="119" spans="1:14" ht="15.75" thickTop="1" x14ac:dyDescent="0.25">
      <c r="A119" s="7"/>
      <c r="B119" s="352"/>
      <c r="C119" s="123"/>
      <c r="D119" s="353"/>
      <c r="E119" s="344"/>
      <c r="F119" s="353"/>
      <c r="G119" s="341"/>
    </row>
    <row r="120" spans="1:14" x14ac:dyDescent="0.25">
      <c r="B120" s="4"/>
      <c r="D120" s="4"/>
      <c r="F120" s="4"/>
    </row>
    <row r="147" spans="2:3" x14ac:dyDescent="0.25">
      <c r="B147" t="s">
        <v>350</v>
      </c>
      <c r="C147">
        <f>'R4UD_Ref'!E67</f>
        <v>1</v>
      </c>
    </row>
    <row r="148" spans="2:3" x14ac:dyDescent="0.25">
      <c r="B148" t="s">
        <v>351</v>
      </c>
      <c r="C148">
        <f>'R4UD_Ref'!G67</f>
        <v>1</v>
      </c>
    </row>
    <row r="149" spans="2:3" x14ac:dyDescent="0.25">
      <c r="B149" t="s">
        <v>335</v>
      </c>
      <c r="C149">
        <f>'R4UD_Ref'!E69</f>
        <v>2</v>
      </c>
    </row>
    <row r="150" spans="2:3" x14ac:dyDescent="0.25">
      <c r="B150" t="s">
        <v>336</v>
      </c>
      <c r="C150">
        <f>'R4UD_Ref'!E73</f>
        <v>2</v>
      </c>
    </row>
  </sheetData>
  <mergeCells count="30">
    <mergeCell ref="B3:C3"/>
    <mergeCell ref="B21:C21"/>
    <mergeCell ref="B4:C4"/>
    <mergeCell ref="B9:B10"/>
    <mergeCell ref="B12:B13"/>
    <mergeCell ref="B15:B16"/>
    <mergeCell ref="B52:B57"/>
    <mergeCell ref="B22:C22"/>
    <mergeCell ref="K75:M82"/>
    <mergeCell ref="K65:M72"/>
    <mergeCell ref="H73:I73"/>
    <mergeCell ref="B67:C67"/>
    <mergeCell ref="B45:B48"/>
    <mergeCell ref="B59:B63"/>
    <mergeCell ref="D2:E2"/>
    <mergeCell ref="F52:F54"/>
    <mergeCell ref="D52:D54"/>
    <mergeCell ref="H66:I67"/>
    <mergeCell ref="B103:B118"/>
    <mergeCell ref="B71:C71"/>
    <mergeCell ref="B72:C72"/>
    <mergeCell ref="B68:C68"/>
    <mergeCell ref="B69:C69"/>
    <mergeCell ref="B74:B101"/>
    <mergeCell ref="H75:I75"/>
    <mergeCell ref="H70:H71"/>
    <mergeCell ref="I70:I71"/>
    <mergeCell ref="B66:C66"/>
    <mergeCell ref="B18:C18"/>
    <mergeCell ref="B5:B7"/>
  </mergeCells>
  <conditionalFormatting sqref="G87:N87">
    <cfRule type="expression" dxfId="467" priority="10">
      <formula>AND($E$87&gt;=0.95,$E$87&lt;=1.05,$C$149=2)</formula>
    </cfRule>
    <cfRule type="expression" dxfId="466" priority="12">
      <formula>AND(OR($E$87&lt;0.95,$E$87&gt;1.05),$C$149=2)</formula>
    </cfRule>
  </conditionalFormatting>
  <conditionalFormatting sqref="G101:N101">
    <cfRule type="expression" dxfId="465" priority="8">
      <formula>AND($E$101&gt;=0.95,$E$101&lt;=1.05,$C$149=2)</formula>
    </cfRule>
    <cfRule type="expression" dxfId="464" priority="9">
      <formula>AND(OR($E$101&lt;0.95,$E$101&gt;1.05),$C$149=2)</formula>
    </cfRule>
  </conditionalFormatting>
  <conditionalFormatting sqref="H65:M72">
    <cfRule type="expression" dxfId="463" priority="11">
      <formula>$C$147=1</formula>
    </cfRule>
  </conditionalFormatting>
  <conditionalFormatting sqref="H75:M82">
    <cfRule type="expression" dxfId="462" priority="6">
      <formula>$C$148=1</formula>
    </cfRule>
  </conditionalFormatting>
  <conditionalFormatting sqref="G110:N110 G118:N118">
    <cfRule type="expression" dxfId="461" priority="4">
      <formula>AND($E$109&gt;=0.95,$E$109&lt;=1.05,$C$150=2)</formula>
    </cfRule>
    <cfRule type="expression" dxfId="460" priority="5">
      <formula>AND(OR($E$109&lt;0.95,$E$109&gt;1.05),$C$150=2)</formula>
    </cfRule>
  </conditionalFormatting>
  <pageMargins left="0.7" right="0.7"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3</xdr:col>
                    <xdr:colOff>9525</xdr:colOff>
                    <xdr:row>22</xdr:row>
                    <xdr:rowOff>9525</xdr:rowOff>
                  </from>
                  <to>
                    <xdr:col>5</xdr:col>
                    <xdr:colOff>0</xdr:colOff>
                    <xdr:row>23</xdr:row>
                    <xdr:rowOff>0</xdr:rowOff>
                  </to>
                </anchor>
              </controlPr>
            </control>
          </mc:Choice>
        </mc:AlternateContent>
        <mc:AlternateContent xmlns:mc="http://schemas.openxmlformats.org/markup-compatibility/2006">
          <mc:Choice Requires="x14">
            <control shapeId="11266" r:id="rId5" name="Option Button 2">
              <controlPr defaultSize="0" autoFill="0" autoLine="0" autoPict="0">
                <anchor moveWithCells="1">
                  <from>
                    <xdr:col>3</xdr:col>
                    <xdr:colOff>752475</xdr:colOff>
                    <xdr:row>22</xdr:row>
                    <xdr:rowOff>47625</xdr:rowOff>
                  </from>
                  <to>
                    <xdr:col>3</xdr:col>
                    <xdr:colOff>933450</xdr:colOff>
                    <xdr:row>22</xdr:row>
                    <xdr:rowOff>190500</xdr:rowOff>
                  </to>
                </anchor>
              </controlPr>
            </control>
          </mc:Choice>
        </mc:AlternateContent>
        <mc:AlternateContent xmlns:mc="http://schemas.openxmlformats.org/markup-compatibility/2006">
          <mc:Choice Requires="x14">
            <control shapeId="11267" r:id="rId6" name="Option Button 3">
              <controlPr defaultSize="0" autoFill="0" autoLine="0" autoPict="0">
                <anchor moveWithCells="1">
                  <from>
                    <xdr:col>4</xdr:col>
                    <xdr:colOff>695325</xdr:colOff>
                    <xdr:row>22</xdr:row>
                    <xdr:rowOff>38100</xdr:rowOff>
                  </from>
                  <to>
                    <xdr:col>4</xdr:col>
                    <xdr:colOff>904875</xdr:colOff>
                    <xdr:row>23</xdr:row>
                    <xdr:rowOff>0</xdr:rowOff>
                  </to>
                </anchor>
              </controlPr>
            </control>
          </mc:Choice>
        </mc:AlternateContent>
        <mc:AlternateContent xmlns:mc="http://schemas.openxmlformats.org/markup-compatibility/2006">
          <mc:Choice Requires="x14">
            <control shapeId="11268" r:id="rId7" name="Group Box 4">
              <controlPr defaultSize="0" autoFill="0" autoPict="0">
                <anchor moveWithCells="1">
                  <from>
                    <xdr:col>3</xdr:col>
                    <xdr:colOff>9525</xdr:colOff>
                    <xdr:row>24</xdr:row>
                    <xdr:rowOff>9525</xdr:rowOff>
                  </from>
                  <to>
                    <xdr:col>5</xdr:col>
                    <xdr:colOff>0</xdr:colOff>
                    <xdr:row>24</xdr:row>
                    <xdr:rowOff>238125</xdr:rowOff>
                  </to>
                </anchor>
              </controlPr>
            </control>
          </mc:Choice>
        </mc:AlternateContent>
        <mc:AlternateContent xmlns:mc="http://schemas.openxmlformats.org/markup-compatibility/2006">
          <mc:Choice Requires="x14">
            <control shapeId="11269" r:id="rId8" name="Option Button 5">
              <controlPr defaultSize="0" autoFill="0" autoLine="0" autoPict="0">
                <anchor moveWithCells="1">
                  <from>
                    <xdr:col>3</xdr:col>
                    <xdr:colOff>752475</xdr:colOff>
                    <xdr:row>24</xdr:row>
                    <xdr:rowOff>19050</xdr:rowOff>
                  </from>
                  <to>
                    <xdr:col>4</xdr:col>
                    <xdr:colOff>0</xdr:colOff>
                    <xdr:row>24</xdr:row>
                    <xdr:rowOff>200025</xdr:rowOff>
                  </to>
                </anchor>
              </controlPr>
            </control>
          </mc:Choice>
        </mc:AlternateContent>
        <mc:AlternateContent xmlns:mc="http://schemas.openxmlformats.org/markup-compatibility/2006">
          <mc:Choice Requires="x14">
            <control shapeId="11270" r:id="rId9" name="Option Button 6">
              <controlPr defaultSize="0" autoFill="0" autoLine="0" autoPict="0">
                <anchor moveWithCells="1">
                  <from>
                    <xdr:col>4</xdr:col>
                    <xdr:colOff>695325</xdr:colOff>
                    <xdr:row>24</xdr:row>
                    <xdr:rowOff>19050</xdr:rowOff>
                  </from>
                  <to>
                    <xdr:col>4</xdr:col>
                    <xdr:colOff>914400</xdr:colOff>
                    <xdr:row>24</xdr:row>
                    <xdr:rowOff>200025</xdr:rowOff>
                  </to>
                </anchor>
              </controlPr>
            </control>
          </mc:Choice>
        </mc:AlternateContent>
        <mc:AlternateContent xmlns:mc="http://schemas.openxmlformats.org/markup-compatibility/2006">
          <mc:Choice Requires="x14">
            <control shapeId="11271" r:id="rId10" name="Group Box 7">
              <controlPr defaultSize="0" autoFill="0" autoPict="0">
                <anchor moveWithCells="1">
                  <from>
                    <xdr:col>3</xdr:col>
                    <xdr:colOff>9525</xdr:colOff>
                    <xdr:row>67</xdr:row>
                    <xdr:rowOff>9525</xdr:rowOff>
                  </from>
                  <to>
                    <xdr:col>5</xdr:col>
                    <xdr:colOff>0</xdr:colOff>
                    <xdr:row>68</xdr:row>
                    <xdr:rowOff>0</xdr:rowOff>
                  </to>
                </anchor>
              </controlPr>
            </control>
          </mc:Choice>
        </mc:AlternateContent>
        <mc:AlternateContent xmlns:mc="http://schemas.openxmlformats.org/markup-compatibility/2006">
          <mc:Choice Requires="x14">
            <control shapeId="11272" r:id="rId11" name="Option Button 8">
              <controlPr defaultSize="0" autoFill="0" autoLine="0" autoPict="0">
                <anchor moveWithCells="1">
                  <from>
                    <xdr:col>3</xdr:col>
                    <xdr:colOff>714375</xdr:colOff>
                    <xdr:row>67</xdr:row>
                    <xdr:rowOff>38100</xdr:rowOff>
                  </from>
                  <to>
                    <xdr:col>3</xdr:col>
                    <xdr:colOff>914400</xdr:colOff>
                    <xdr:row>68</xdr:row>
                    <xdr:rowOff>0</xdr:rowOff>
                  </to>
                </anchor>
              </controlPr>
            </control>
          </mc:Choice>
        </mc:AlternateContent>
        <mc:AlternateContent xmlns:mc="http://schemas.openxmlformats.org/markup-compatibility/2006">
          <mc:Choice Requires="x14">
            <control shapeId="11273" r:id="rId12" name="Option Button 9">
              <controlPr defaultSize="0" autoFill="0" autoLine="0" autoPict="0">
                <anchor moveWithCells="1">
                  <from>
                    <xdr:col>4</xdr:col>
                    <xdr:colOff>714375</xdr:colOff>
                    <xdr:row>67</xdr:row>
                    <xdr:rowOff>38100</xdr:rowOff>
                  </from>
                  <to>
                    <xdr:col>4</xdr:col>
                    <xdr:colOff>895350</xdr:colOff>
                    <xdr:row>68</xdr:row>
                    <xdr:rowOff>0</xdr:rowOff>
                  </to>
                </anchor>
              </controlPr>
            </control>
          </mc:Choice>
        </mc:AlternateContent>
        <mc:AlternateContent xmlns:mc="http://schemas.openxmlformats.org/markup-compatibility/2006">
          <mc:Choice Requires="x14">
            <control shapeId="11274" r:id="rId13" name="Group Box 10">
              <controlPr defaultSize="0" autoFill="0" autoPict="0">
                <anchor moveWithCells="1">
                  <from>
                    <xdr:col>2</xdr:col>
                    <xdr:colOff>1752600</xdr:colOff>
                    <xdr:row>8</xdr:row>
                    <xdr:rowOff>0</xdr:rowOff>
                  </from>
                  <to>
                    <xdr:col>5</xdr:col>
                    <xdr:colOff>0</xdr:colOff>
                    <xdr:row>9</xdr:row>
                    <xdr:rowOff>0</xdr:rowOff>
                  </to>
                </anchor>
              </controlPr>
            </control>
          </mc:Choice>
        </mc:AlternateContent>
        <mc:AlternateContent xmlns:mc="http://schemas.openxmlformats.org/markup-compatibility/2006">
          <mc:Choice Requires="x14">
            <control shapeId="11275" r:id="rId14" name="Option Button 11">
              <controlPr defaultSize="0" autoFill="0" autoLine="0" autoPict="0">
                <anchor moveWithCells="1">
                  <from>
                    <xdr:col>3</xdr:col>
                    <xdr:colOff>733425</xdr:colOff>
                    <xdr:row>8</xdr:row>
                    <xdr:rowOff>38100</xdr:rowOff>
                  </from>
                  <to>
                    <xdr:col>3</xdr:col>
                    <xdr:colOff>895350</xdr:colOff>
                    <xdr:row>8</xdr:row>
                    <xdr:rowOff>200025</xdr:rowOff>
                  </to>
                </anchor>
              </controlPr>
            </control>
          </mc:Choice>
        </mc:AlternateContent>
        <mc:AlternateContent xmlns:mc="http://schemas.openxmlformats.org/markup-compatibility/2006">
          <mc:Choice Requires="x14">
            <control shapeId="11276" r:id="rId15" name="Option Button 12">
              <controlPr defaultSize="0" autoFill="0" autoLine="0" autoPict="0">
                <anchor moveWithCells="1">
                  <from>
                    <xdr:col>4</xdr:col>
                    <xdr:colOff>704850</xdr:colOff>
                    <xdr:row>8</xdr:row>
                    <xdr:rowOff>38100</xdr:rowOff>
                  </from>
                  <to>
                    <xdr:col>4</xdr:col>
                    <xdr:colOff>876300</xdr:colOff>
                    <xdr:row>8</xdr:row>
                    <xdr:rowOff>190500</xdr:rowOff>
                  </to>
                </anchor>
              </controlPr>
            </control>
          </mc:Choice>
        </mc:AlternateContent>
        <mc:AlternateContent xmlns:mc="http://schemas.openxmlformats.org/markup-compatibility/2006">
          <mc:Choice Requires="x14">
            <control shapeId="11277" r:id="rId16" name="Group Box 13">
              <controlPr defaultSize="0" autoFill="0" autoPict="0">
                <anchor moveWithCells="1">
                  <from>
                    <xdr:col>3</xdr:col>
                    <xdr:colOff>0</xdr:colOff>
                    <xdr:row>9</xdr:row>
                    <xdr:rowOff>9525</xdr:rowOff>
                  </from>
                  <to>
                    <xdr:col>5</xdr:col>
                    <xdr:colOff>0</xdr:colOff>
                    <xdr:row>9</xdr:row>
                    <xdr:rowOff>238125</xdr:rowOff>
                  </to>
                </anchor>
              </controlPr>
            </control>
          </mc:Choice>
        </mc:AlternateContent>
        <mc:AlternateContent xmlns:mc="http://schemas.openxmlformats.org/markup-compatibility/2006">
          <mc:Choice Requires="x14">
            <control shapeId="11278" r:id="rId17" name="Option Button 14">
              <controlPr defaultSize="0" autoFill="0" autoLine="0" autoPict="0">
                <anchor moveWithCells="1">
                  <from>
                    <xdr:col>3</xdr:col>
                    <xdr:colOff>742950</xdr:colOff>
                    <xdr:row>9</xdr:row>
                    <xdr:rowOff>57150</xdr:rowOff>
                  </from>
                  <to>
                    <xdr:col>3</xdr:col>
                    <xdr:colOff>933450</xdr:colOff>
                    <xdr:row>9</xdr:row>
                    <xdr:rowOff>209550</xdr:rowOff>
                  </to>
                </anchor>
              </controlPr>
            </control>
          </mc:Choice>
        </mc:AlternateContent>
        <mc:AlternateContent xmlns:mc="http://schemas.openxmlformats.org/markup-compatibility/2006">
          <mc:Choice Requires="x14">
            <control shapeId="11279" r:id="rId18" name="Option Button 15">
              <controlPr defaultSize="0" autoFill="0" autoLine="0" autoPict="0">
                <anchor moveWithCells="1">
                  <from>
                    <xdr:col>4</xdr:col>
                    <xdr:colOff>704850</xdr:colOff>
                    <xdr:row>9</xdr:row>
                    <xdr:rowOff>38100</xdr:rowOff>
                  </from>
                  <to>
                    <xdr:col>4</xdr:col>
                    <xdr:colOff>914400</xdr:colOff>
                    <xdr:row>9</xdr:row>
                    <xdr:rowOff>200025</xdr:rowOff>
                  </to>
                </anchor>
              </controlPr>
            </control>
          </mc:Choice>
        </mc:AlternateContent>
        <mc:AlternateContent xmlns:mc="http://schemas.openxmlformats.org/markup-compatibility/2006">
          <mc:Choice Requires="x14">
            <control shapeId="11280" r:id="rId19" name="Group Box 16">
              <controlPr defaultSize="0" autoFill="0" autoPict="0">
                <anchor moveWithCells="1">
                  <from>
                    <xdr:col>2</xdr:col>
                    <xdr:colOff>1752600</xdr:colOff>
                    <xdr:row>11</xdr:row>
                    <xdr:rowOff>9525</xdr:rowOff>
                  </from>
                  <to>
                    <xdr:col>5</xdr:col>
                    <xdr:colOff>0</xdr:colOff>
                    <xdr:row>11</xdr:row>
                    <xdr:rowOff>238125</xdr:rowOff>
                  </to>
                </anchor>
              </controlPr>
            </control>
          </mc:Choice>
        </mc:AlternateContent>
        <mc:AlternateContent xmlns:mc="http://schemas.openxmlformats.org/markup-compatibility/2006">
          <mc:Choice Requires="x14">
            <control shapeId="11281" r:id="rId20" name="Option Button 17">
              <controlPr defaultSize="0" autoFill="0" autoLine="0" autoPict="0">
                <anchor moveWithCells="1">
                  <from>
                    <xdr:col>3</xdr:col>
                    <xdr:colOff>742950</xdr:colOff>
                    <xdr:row>11</xdr:row>
                    <xdr:rowOff>47625</xdr:rowOff>
                  </from>
                  <to>
                    <xdr:col>3</xdr:col>
                    <xdr:colOff>914400</xdr:colOff>
                    <xdr:row>11</xdr:row>
                    <xdr:rowOff>228600</xdr:rowOff>
                  </to>
                </anchor>
              </controlPr>
            </control>
          </mc:Choice>
        </mc:AlternateContent>
        <mc:AlternateContent xmlns:mc="http://schemas.openxmlformats.org/markup-compatibility/2006">
          <mc:Choice Requires="x14">
            <control shapeId="11282" r:id="rId21" name="Option Button 18">
              <controlPr defaultSize="0" autoFill="0" autoLine="0" autoPict="0">
                <anchor moveWithCells="1">
                  <from>
                    <xdr:col>4</xdr:col>
                    <xdr:colOff>704850</xdr:colOff>
                    <xdr:row>11</xdr:row>
                    <xdr:rowOff>57150</xdr:rowOff>
                  </from>
                  <to>
                    <xdr:col>4</xdr:col>
                    <xdr:colOff>895350</xdr:colOff>
                    <xdr:row>11</xdr:row>
                    <xdr:rowOff>200025</xdr:rowOff>
                  </to>
                </anchor>
              </controlPr>
            </control>
          </mc:Choice>
        </mc:AlternateContent>
        <mc:AlternateContent xmlns:mc="http://schemas.openxmlformats.org/markup-compatibility/2006">
          <mc:Choice Requires="x14">
            <control shapeId="11283" r:id="rId22" name="Group Box 19">
              <controlPr defaultSize="0" autoFill="0" autoPict="0">
                <anchor moveWithCells="1">
                  <from>
                    <xdr:col>3</xdr:col>
                    <xdr:colOff>9525</xdr:colOff>
                    <xdr:row>12</xdr:row>
                    <xdr:rowOff>9525</xdr:rowOff>
                  </from>
                  <to>
                    <xdr:col>5</xdr:col>
                    <xdr:colOff>0</xdr:colOff>
                    <xdr:row>12</xdr:row>
                    <xdr:rowOff>228600</xdr:rowOff>
                  </to>
                </anchor>
              </controlPr>
            </control>
          </mc:Choice>
        </mc:AlternateContent>
        <mc:AlternateContent xmlns:mc="http://schemas.openxmlformats.org/markup-compatibility/2006">
          <mc:Choice Requires="x14">
            <control shapeId="11284" r:id="rId23" name="Option Button 20">
              <controlPr defaultSize="0" autoFill="0" autoLine="0" autoPict="0">
                <anchor moveWithCells="1">
                  <from>
                    <xdr:col>3</xdr:col>
                    <xdr:colOff>752475</xdr:colOff>
                    <xdr:row>12</xdr:row>
                    <xdr:rowOff>38100</xdr:rowOff>
                  </from>
                  <to>
                    <xdr:col>3</xdr:col>
                    <xdr:colOff>933450</xdr:colOff>
                    <xdr:row>12</xdr:row>
                    <xdr:rowOff>190500</xdr:rowOff>
                  </to>
                </anchor>
              </controlPr>
            </control>
          </mc:Choice>
        </mc:AlternateContent>
        <mc:AlternateContent xmlns:mc="http://schemas.openxmlformats.org/markup-compatibility/2006">
          <mc:Choice Requires="x14">
            <control shapeId="11285" r:id="rId24" name="Option Button 21">
              <controlPr defaultSize="0" autoFill="0" autoLine="0" autoPict="0">
                <anchor moveWithCells="1">
                  <from>
                    <xdr:col>4</xdr:col>
                    <xdr:colOff>704850</xdr:colOff>
                    <xdr:row>12</xdr:row>
                    <xdr:rowOff>38100</xdr:rowOff>
                  </from>
                  <to>
                    <xdr:col>4</xdr:col>
                    <xdr:colOff>885825</xdr:colOff>
                    <xdr:row>12</xdr:row>
                    <xdr:rowOff>200025</xdr:rowOff>
                  </to>
                </anchor>
              </controlPr>
            </control>
          </mc:Choice>
        </mc:AlternateContent>
        <mc:AlternateContent xmlns:mc="http://schemas.openxmlformats.org/markup-compatibility/2006">
          <mc:Choice Requires="x14">
            <control shapeId="11286" r:id="rId25" name="Group Box 22">
              <controlPr defaultSize="0" autoFill="0" autoPict="0">
                <anchor moveWithCells="1">
                  <from>
                    <xdr:col>3</xdr:col>
                    <xdr:colOff>9525</xdr:colOff>
                    <xdr:row>14</xdr:row>
                    <xdr:rowOff>9525</xdr:rowOff>
                  </from>
                  <to>
                    <xdr:col>5</xdr:col>
                    <xdr:colOff>0</xdr:colOff>
                    <xdr:row>14</xdr:row>
                    <xdr:rowOff>238125</xdr:rowOff>
                  </to>
                </anchor>
              </controlPr>
            </control>
          </mc:Choice>
        </mc:AlternateContent>
        <mc:AlternateContent xmlns:mc="http://schemas.openxmlformats.org/markup-compatibility/2006">
          <mc:Choice Requires="x14">
            <control shapeId="11287" r:id="rId26" name="Option Button 23">
              <controlPr defaultSize="0" autoFill="0" autoLine="0" autoPict="0">
                <anchor moveWithCells="1">
                  <from>
                    <xdr:col>3</xdr:col>
                    <xdr:colOff>752475</xdr:colOff>
                    <xdr:row>14</xdr:row>
                    <xdr:rowOff>38100</xdr:rowOff>
                  </from>
                  <to>
                    <xdr:col>3</xdr:col>
                    <xdr:colOff>942975</xdr:colOff>
                    <xdr:row>14</xdr:row>
                    <xdr:rowOff>200025</xdr:rowOff>
                  </to>
                </anchor>
              </controlPr>
            </control>
          </mc:Choice>
        </mc:AlternateContent>
        <mc:AlternateContent xmlns:mc="http://schemas.openxmlformats.org/markup-compatibility/2006">
          <mc:Choice Requires="x14">
            <control shapeId="11288" r:id="rId27" name="Option Button 24">
              <controlPr defaultSize="0" autoFill="0" autoLine="0" autoPict="0">
                <anchor moveWithCells="1">
                  <from>
                    <xdr:col>4</xdr:col>
                    <xdr:colOff>704850</xdr:colOff>
                    <xdr:row>14</xdr:row>
                    <xdr:rowOff>28575</xdr:rowOff>
                  </from>
                  <to>
                    <xdr:col>4</xdr:col>
                    <xdr:colOff>876300</xdr:colOff>
                    <xdr:row>14</xdr:row>
                    <xdr:rowOff>190500</xdr:rowOff>
                  </to>
                </anchor>
              </controlPr>
            </control>
          </mc:Choice>
        </mc:AlternateContent>
        <mc:AlternateContent xmlns:mc="http://schemas.openxmlformats.org/markup-compatibility/2006">
          <mc:Choice Requires="x14">
            <control shapeId="11289" r:id="rId28" name="Group Box 25">
              <controlPr defaultSize="0" autoFill="0" autoPict="0">
                <anchor moveWithCells="1">
                  <from>
                    <xdr:col>3</xdr:col>
                    <xdr:colOff>0</xdr:colOff>
                    <xdr:row>15</xdr:row>
                    <xdr:rowOff>9525</xdr:rowOff>
                  </from>
                  <to>
                    <xdr:col>5</xdr:col>
                    <xdr:colOff>0</xdr:colOff>
                    <xdr:row>15</xdr:row>
                    <xdr:rowOff>238125</xdr:rowOff>
                  </to>
                </anchor>
              </controlPr>
            </control>
          </mc:Choice>
        </mc:AlternateContent>
        <mc:AlternateContent xmlns:mc="http://schemas.openxmlformats.org/markup-compatibility/2006">
          <mc:Choice Requires="x14">
            <control shapeId="11290" r:id="rId29" name="Option Button 26">
              <controlPr defaultSize="0" autoFill="0" autoLine="0" autoPict="0">
                <anchor moveWithCells="1">
                  <from>
                    <xdr:col>3</xdr:col>
                    <xdr:colOff>742950</xdr:colOff>
                    <xdr:row>15</xdr:row>
                    <xdr:rowOff>47625</xdr:rowOff>
                  </from>
                  <to>
                    <xdr:col>3</xdr:col>
                    <xdr:colOff>923925</xdr:colOff>
                    <xdr:row>15</xdr:row>
                    <xdr:rowOff>200025</xdr:rowOff>
                  </to>
                </anchor>
              </controlPr>
            </control>
          </mc:Choice>
        </mc:AlternateContent>
        <mc:AlternateContent xmlns:mc="http://schemas.openxmlformats.org/markup-compatibility/2006">
          <mc:Choice Requires="x14">
            <control shapeId="11291" r:id="rId30" name="Option Button 27">
              <controlPr defaultSize="0" autoFill="0" autoLine="0" autoPict="0">
                <anchor moveWithCells="1">
                  <from>
                    <xdr:col>4</xdr:col>
                    <xdr:colOff>695325</xdr:colOff>
                    <xdr:row>15</xdr:row>
                    <xdr:rowOff>38100</xdr:rowOff>
                  </from>
                  <to>
                    <xdr:col>4</xdr:col>
                    <xdr:colOff>876300</xdr:colOff>
                    <xdr:row>15</xdr:row>
                    <xdr:rowOff>200025</xdr:rowOff>
                  </to>
                </anchor>
              </controlPr>
            </control>
          </mc:Choice>
        </mc:AlternateContent>
        <mc:AlternateContent xmlns:mc="http://schemas.openxmlformats.org/markup-compatibility/2006">
          <mc:Choice Requires="x14">
            <control shapeId="11292" r:id="rId31" name="Group Box 28">
              <controlPr defaultSize="0" autoFill="0" autoPict="0">
                <anchor moveWithCells="1">
                  <from>
                    <xdr:col>3</xdr:col>
                    <xdr:colOff>9525</xdr:colOff>
                    <xdr:row>26</xdr:row>
                    <xdr:rowOff>9525</xdr:rowOff>
                  </from>
                  <to>
                    <xdr:col>5</xdr:col>
                    <xdr:colOff>0</xdr:colOff>
                    <xdr:row>27</xdr:row>
                    <xdr:rowOff>0</xdr:rowOff>
                  </to>
                </anchor>
              </controlPr>
            </control>
          </mc:Choice>
        </mc:AlternateContent>
        <mc:AlternateContent xmlns:mc="http://schemas.openxmlformats.org/markup-compatibility/2006">
          <mc:Choice Requires="x14">
            <control shapeId="11293" r:id="rId32" name="Option Button 29">
              <controlPr defaultSize="0" autoFill="0" autoLine="0" autoPict="0">
                <anchor moveWithCells="1">
                  <from>
                    <xdr:col>3</xdr:col>
                    <xdr:colOff>742950</xdr:colOff>
                    <xdr:row>26</xdr:row>
                    <xdr:rowOff>57150</xdr:rowOff>
                  </from>
                  <to>
                    <xdr:col>3</xdr:col>
                    <xdr:colOff>933450</xdr:colOff>
                    <xdr:row>26</xdr:row>
                    <xdr:rowOff>361950</xdr:rowOff>
                  </to>
                </anchor>
              </controlPr>
            </control>
          </mc:Choice>
        </mc:AlternateContent>
        <mc:AlternateContent xmlns:mc="http://schemas.openxmlformats.org/markup-compatibility/2006">
          <mc:Choice Requires="x14">
            <control shapeId="11294" r:id="rId33" name="Option Button 30">
              <controlPr defaultSize="0" autoFill="0" autoLine="0" autoPict="0">
                <anchor moveWithCells="1">
                  <from>
                    <xdr:col>4</xdr:col>
                    <xdr:colOff>695325</xdr:colOff>
                    <xdr:row>26</xdr:row>
                    <xdr:rowOff>57150</xdr:rowOff>
                  </from>
                  <to>
                    <xdr:col>4</xdr:col>
                    <xdr:colOff>876300</xdr:colOff>
                    <xdr:row>27</xdr:row>
                    <xdr:rowOff>0</xdr:rowOff>
                  </to>
                </anchor>
              </controlPr>
            </control>
          </mc:Choice>
        </mc:AlternateContent>
        <mc:AlternateContent xmlns:mc="http://schemas.openxmlformats.org/markup-compatibility/2006">
          <mc:Choice Requires="x14">
            <control shapeId="11295" r:id="rId34" name="Group Box 31">
              <controlPr defaultSize="0" autoFill="0" autoPict="0">
                <anchor moveWithCells="1">
                  <from>
                    <xdr:col>3</xdr:col>
                    <xdr:colOff>9525</xdr:colOff>
                    <xdr:row>28</xdr:row>
                    <xdr:rowOff>19050</xdr:rowOff>
                  </from>
                  <to>
                    <xdr:col>5</xdr:col>
                    <xdr:colOff>0</xdr:colOff>
                    <xdr:row>29</xdr:row>
                    <xdr:rowOff>0</xdr:rowOff>
                  </to>
                </anchor>
              </controlPr>
            </control>
          </mc:Choice>
        </mc:AlternateContent>
        <mc:AlternateContent xmlns:mc="http://schemas.openxmlformats.org/markup-compatibility/2006">
          <mc:Choice Requires="x14">
            <control shapeId="11296" r:id="rId35" name="Option Button 32">
              <controlPr defaultSize="0" autoFill="0" autoLine="0" autoPict="0">
                <anchor moveWithCells="1">
                  <from>
                    <xdr:col>3</xdr:col>
                    <xdr:colOff>723900</xdr:colOff>
                    <xdr:row>28</xdr:row>
                    <xdr:rowOff>104775</xdr:rowOff>
                  </from>
                  <to>
                    <xdr:col>3</xdr:col>
                    <xdr:colOff>914400</xdr:colOff>
                    <xdr:row>29</xdr:row>
                    <xdr:rowOff>0</xdr:rowOff>
                  </to>
                </anchor>
              </controlPr>
            </control>
          </mc:Choice>
        </mc:AlternateContent>
        <mc:AlternateContent xmlns:mc="http://schemas.openxmlformats.org/markup-compatibility/2006">
          <mc:Choice Requires="x14">
            <control shapeId="11297" r:id="rId36" name="Option Button 33">
              <controlPr defaultSize="0" autoFill="0" autoLine="0" autoPict="0">
                <anchor moveWithCells="1">
                  <from>
                    <xdr:col>4</xdr:col>
                    <xdr:colOff>695325</xdr:colOff>
                    <xdr:row>28</xdr:row>
                    <xdr:rowOff>104775</xdr:rowOff>
                  </from>
                  <to>
                    <xdr:col>4</xdr:col>
                    <xdr:colOff>885825</xdr:colOff>
                    <xdr:row>29</xdr:row>
                    <xdr:rowOff>0</xdr:rowOff>
                  </to>
                </anchor>
              </controlPr>
            </control>
          </mc:Choice>
        </mc:AlternateContent>
        <mc:AlternateContent xmlns:mc="http://schemas.openxmlformats.org/markup-compatibility/2006">
          <mc:Choice Requires="x14">
            <control shapeId="11298" r:id="rId37" name="Group Box 34">
              <controlPr defaultSize="0" autoFill="0" autoPict="0">
                <anchor moveWithCells="1">
                  <from>
                    <xdr:col>3</xdr:col>
                    <xdr:colOff>9525</xdr:colOff>
                    <xdr:row>30</xdr:row>
                    <xdr:rowOff>9525</xdr:rowOff>
                  </from>
                  <to>
                    <xdr:col>5</xdr:col>
                    <xdr:colOff>0</xdr:colOff>
                    <xdr:row>31</xdr:row>
                    <xdr:rowOff>0</xdr:rowOff>
                  </to>
                </anchor>
              </controlPr>
            </control>
          </mc:Choice>
        </mc:AlternateContent>
        <mc:AlternateContent xmlns:mc="http://schemas.openxmlformats.org/markup-compatibility/2006">
          <mc:Choice Requires="x14">
            <control shapeId="11299" r:id="rId38" name="Option Button 35">
              <controlPr defaultSize="0" autoFill="0" autoLine="0" autoPict="0">
                <anchor moveWithCells="1">
                  <from>
                    <xdr:col>3</xdr:col>
                    <xdr:colOff>733425</xdr:colOff>
                    <xdr:row>30</xdr:row>
                    <xdr:rowOff>114300</xdr:rowOff>
                  </from>
                  <to>
                    <xdr:col>3</xdr:col>
                    <xdr:colOff>933450</xdr:colOff>
                    <xdr:row>30</xdr:row>
                    <xdr:rowOff>352425</xdr:rowOff>
                  </to>
                </anchor>
              </controlPr>
            </control>
          </mc:Choice>
        </mc:AlternateContent>
        <mc:AlternateContent xmlns:mc="http://schemas.openxmlformats.org/markup-compatibility/2006">
          <mc:Choice Requires="x14">
            <control shapeId="11300" r:id="rId39" name="Option Button 36">
              <controlPr defaultSize="0" autoFill="0" autoLine="0" autoPict="0">
                <anchor moveWithCells="1">
                  <from>
                    <xdr:col>4</xdr:col>
                    <xdr:colOff>704850</xdr:colOff>
                    <xdr:row>30</xdr:row>
                    <xdr:rowOff>114300</xdr:rowOff>
                  </from>
                  <to>
                    <xdr:col>4</xdr:col>
                    <xdr:colOff>885825</xdr:colOff>
                    <xdr:row>30</xdr:row>
                    <xdr:rowOff>323850</xdr:rowOff>
                  </to>
                </anchor>
              </controlPr>
            </control>
          </mc:Choice>
        </mc:AlternateContent>
        <mc:AlternateContent xmlns:mc="http://schemas.openxmlformats.org/markup-compatibility/2006">
          <mc:Choice Requires="x14">
            <control shapeId="11301" r:id="rId40" name="Group Box 37">
              <controlPr defaultSize="0" autoFill="0" autoPict="0">
                <anchor moveWithCells="1">
                  <from>
                    <xdr:col>3</xdr:col>
                    <xdr:colOff>9525</xdr:colOff>
                    <xdr:row>32</xdr:row>
                    <xdr:rowOff>9525</xdr:rowOff>
                  </from>
                  <to>
                    <xdr:col>5</xdr:col>
                    <xdr:colOff>0</xdr:colOff>
                    <xdr:row>33</xdr:row>
                    <xdr:rowOff>28575</xdr:rowOff>
                  </to>
                </anchor>
              </controlPr>
            </control>
          </mc:Choice>
        </mc:AlternateContent>
        <mc:AlternateContent xmlns:mc="http://schemas.openxmlformats.org/markup-compatibility/2006">
          <mc:Choice Requires="x14">
            <control shapeId="11302" r:id="rId41" name="Option Button 38">
              <controlPr defaultSize="0" autoFill="0" autoLine="0" autoPict="0">
                <anchor moveWithCells="1">
                  <from>
                    <xdr:col>3</xdr:col>
                    <xdr:colOff>723900</xdr:colOff>
                    <xdr:row>32</xdr:row>
                    <xdr:rowOff>47625</xdr:rowOff>
                  </from>
                  <to>
                    <xdr:col>3</xdr:col>
                    <xdr:colOff>914400</xdr:colOff>
                    <xdr:row>32</xdr:row>
                    <xdr:rowOff>200025</xdr:rowOff>
                  </to>
                </anchor>
              </controlPr>
            </control>
          </mc:Choice>
        </mc:AlternateContent>
        <mc:AlternateContent xmlns:mc="http://schemas.openxmlformats.org/markup-compatibility/2006">
          <mc:Choice Requires="x14">
            <control shapeId="11303" r:id="rId42" name="Option Button 39">
              <controlPr defaultSize="0" autoFill="0" autoLine="0" autoPict="0">
                <anchor moveWithCells="1">
                  <from>
                    <xdr:col>4</xdr:col>
                    <xdr:colOff>704850</xdr:colOff>
                    <xdr:row>32</xdr:row>
                    <xdr:rowOff>47625</xdr:rowOff>
                  </from>
                  <to>
                    <xdr:col>4</xdr:col>
                    <xdr:colOff>885825</xdr:colOff>
                    <xdr:row>33</xdr:row>
                    <xdr:rowOff>0</xdr:rowOff>
                  </to>
                </anchor>
              </controlPr>
            </control>
          </mc:Choice>
        </mc:AlternateContent>
        <mc:AlternateContent xmlns:mc="http://schemas.openxmlformats.org/markup-compatibility/2006">
          <mc:Choice Requires="x14">
            <control shapeId="11304" r:id="rId43" name="Group Box 40">
              <controlPr defaultSize="0" autoFill="0" autoPict="0">
                <anchor moveWithCells="1">
                  <from>
                    <xdr:col>3</xdr:col>
                    <xdr:colOff>9525</xdr:colOff>
                    <xdr:row>34</xdr:row>
                    <xdr:rowOff>9525</xdr:rowOff>
                  </from>
                  <to>
                    <xdr:col>5</xdr:col>
                    <xdr:colOff>0</xdr:colOff>
                    <xdr:row>34</xdr:row>
                    <xdr:rowOff>238125</xdr:rowOff>
                  </to>
                </anchor>
              </controlPr>
            </control>
          </mc:Choice>
        </mc:AlternateContent>
        <mc:AlternateContent xmlns:mc="http://schemas.openxmlformats.org/markup-compatibility/2006">
          <mc:Choice Requires="x14">
            <control shapeId="11305" r:id="rId44" name="Option Button 41">
              <controlPr defaultSize="0" autoFill="0" autoLine="0" autoPict="0">
                <anchor moveWithCells="1">
                  <from>
                    <xdr:col>3</xdr:col>
                    <xdr:colOff>733425</xdr:colOff>
                    <xdr:row>34</xdr:row>
                    <xdr:rowOff>28575</xdr:rowOff>
                  </from>
                  <to>
                    <xdr:col>3</xdr:col>
                    <xdr:colOff>952500</xdr:colOff>
                    <xdr:row>34</xdr:row>
                    <xdr:rowOff>200025</xdr:rowOff>
                  </to>
                </anchor>
              </controlPr>
            </control>
          </mc:Choice>
        </mc:AlternateContent>
        <mc:AlternateContent xmlns:mc="http://schemas.openxmlformats.org/markup-compatibility/2006">
          <mc:Choice Requires="x14">
            <control shapeId="11306" r:id="rId45" name="Option Button 42">
              <controlPr defaultSize="0" autoFill="0" autoLine="0" autoPict="0">
                <anchor moveWithCells="1">
                  <from>
                    <xdr:col>4</xdr:col>
                    <xdr:colOff>714375</xdr:colOff>
                    <xdr:row>34</xdr:row>
                    <xdr:rowOff>28575</xdr:rowOff>
                  </from>
                  <to>
                    <xdr:col>4</xdr:col>
                    <xdr:colOff>914400</xdr:colOff>
                    <xdr:row>34</xdr:row>
                    <xdr:rowOff>219075</xdr:rowOff>
                  </to>
                </anchor>
              </controlPr>
            </control>
          </mc:Choice>
        </mc:AlternateContent>
        <mc:AlternateContent xmlns:mc="http://schemas.openxmlformats.org/markup-compatibility/2006">
          <mc:Choice Requires="x14">
            <control shapeId="11307" r:id="rId46" name="Group Box 43">
              <controlPr defaultSize="0" autoFill="0" autoPict="0">
                <anchor moveWithCells="1">
                  <from>
                    <xdr:col>3</xdr:col>
                    <xdr:colOff>9525</xdr:colOff>
                    <xdr:row>49</xdr:row>
                    <xdr:rowOff>9525</xdr:rowOff>
                  </from>
                  <to>
                    <xdr:col>5</xdr:col>
                    <xdr:colOff>0</xdr:colOff>
                    <xdr:row>49</xdr:row>
                    <xdr:rowOff>238125</xdr:rowOff>
                  </to>
                </anchor>
              </controlPr>
            </control>
          </mc:Choice>
        </mc:AlternateContent>
        <mc:AlternateContent xmlns:mc="http://schemas.openxmlformats.org/markup-compatibility/2006">
          <mc:Choice Requires="x14">
            <control shapeId="11308" r:id="rId47" name="Option Button 44">
              <controlPr defaultSize="0" autoFill="0" autoLine="0" autoPict="0">
                <anchor moveWithCells="1">
                  <from>
                    <xdr:col>3</xdr:col>
                    <xdr:colOff>723900</xdr:colOff>
                    <xdr:row>49</xdr:row>
                    <xdr:rowOff>28575</xdr:rowOff>
                  </from>
                  <to>
                    <xdr:col>3</xdr:col>
                    <xdr:colOff>914400</xdr:colOff>
                    <xdr:row>49</xdr:row>
                    <xdr:rowOff>200025</xdr:rowOff>
                  </to>
                </anchor>
              </controlPr>
            </control>
          </mc:Choice>
        </mc:AlternateContent>
        <mc:AlternateContent xmlns:mc="http://schemas.openxmlformats.org/markup-compatibility/2006">
          <mc:Choice Requires="x14">
            <control shapeId="11309" r:id="rId48" name="Option Button 45">
              <controlPr defaultSize="0" autoFill="0" autoLine="0" autoPict="0">
                <anchor moveWithCells="1">
                  <from>
                    <xdr:col>4</xdr:col>
                    <xdr:colOff>704850</xdr:colOff>
                    <xdr:row>49</xdr:row>
                    <xdr:rowOff>38100</xdr:rowOff>
                  </from>
                  <to>
                    <xdr:col>4</xdr:col>
                    <xdr:colOff>895350</xdr:colOff>
                    <xdr:row>49</xdr:row>
                    <xdr:rowOff>200025</xdr:rowOff>
                  </to>
                </anchor>
              </controlPr>
            </control>
          </mc:Choice>
        </mc:AlternateContent>
        <mc:AlternateContent xmlns:mc="http://schemas.openxmlformats.org/markup-compatibility/2006">
          <mc:Choice Requires="x14">
            <control shapeId="11310" r:id="rId49" name="Group Box 46">
              <controlPr defaultSize="0" autoFill="0" autoPict="0">
                <anchor moveWithCells="1">
                  <from>
                    <xdr:col>3</xdr:col>
                    <xdr:colOff>9525</xdr:colOff>
                    <xdr:row>51</xdr:row>
                    <xdr:rowOff>9525</xdr:rowOff>
                  </from>
                  <to>
                    <xdr:col>5</xdr:col>
                    <xdr:colOff>0</xdr:colOff>
                    <xdr:row>53</xdr:row>
                    <xdr:rowOff>304800</xdr:rowOff>
                  </to>
                </anchor>
              </controlPr>
            </control>
          </mc:Choice>
        </mc:AlternateContent>
        <mc:AlternateContent xmlns:mc="http://schemas.openxmlformats.org/markup-compatibility/2006">
          <mc:Choice Requires="x14">
            <control shapeId="11311" r:id="rId50" name="Option Button 47">
              <controlPr defaultSize="0" autoFill="0" autoLine="0" autoPict="0">
                <anchor moveWithCells="1">
                  <from>
                    <xdr:col>3</xdr:col>
                    <xdr:colOff>723900</xdr:colOff>
                    <xdr:row>52</xdr:row>
                    <xdr:rowOff>38100</xdr:rowOff>
                  </from>
                  <to>
                    <xdr:col>3</xdr:col>
                    <xdr:colOff>914400</xdr:colOff>
                    <xdr:row>52</xdr:row>
                    <xdr:rowOff>304800</xdr:rowOff>
                  </to>
                </anchor>
              </controlPr>
            </control>
          </mc:Choice>
        </mc:AlternateContent>
        <mc:AlternateContent xmlns:mc="http://schemas.openxmlformats.org/markup-compatibility/2006">
          <mc:Choice Requires="x14">
            <control shapeId="11312" r:id="rId51" name="Option Button 48">
              <controlPr defaultSize="0" autoFill="0" autoLine="0" autoPict="0">
                <anchor moveWithCells="1">
                  <from>
                    <xdr:col>4</xdr:col>
                    <xdr:colOff>714375</xdr:colOff>
                    <xdr:row>52</xdr:row>
                    <xdr:rowOff>28575</xdr:rowOff>
                  </from>
                  <to>
                    <xdr:col>4</xdr:col>
                    <xdr:colOff>914400</xdr:colOff>
                    <xdr:row>52</xdr:row>
                    <xdr:rowOff>285750</xdr:rowOff>
                  </to>
                </anchor>
              </controlPr>
            </control>
          </mc:Choice>
        </mc:AlternateContent>
        <mc:AlternateContent xmlns:mc="http://schemas.openxmlformats.org/markup-compatibility/2006">
          <mc:Choice Requires="x14">
            <control shapeId="11313" r:id="rId52" name="Drop Down 49">
              <controlPr defaultSize="0" autoLine="0" autoPict="0">
                <anchor moveWithCells="1">
                  <from>
                    <xdr:col>4</xdr:col>
                    <xdr:colOff>38100</xdr:colOff>
                    <xdr:row>52</xdr:row>
                    <xdr:rowOff>57150</xdr:rowOff>
                  </from>
                  <to>
                    <xdr:col>4</xdr:col>
                    <xdr:colOff>704850</xdr:colOff>
                    <xdr:row>52</xdr:row>
                    <xdr:rowOff>276225</xdr:rowOff>
                  </to>
                </anchor>
              </controlPr>
            </control>
          </mc:Choice>
        </mc:AlternateContent>
        <mc:AlternateContent xmlns:mc="http://schemas.openxmlformats.org/markup-compatibility/2006">
          <mc:Choice Requires="x14">
            <control shapeId="11314" r:id="rId53" name="Group Box 50">
              <controlPr defaultSize="0" autoFill="0" autoPict="0">
                <anchor moveWithCells="1">
                  <from>
                    <xdr:col>3</xdr:col>
                    <xdr:colOff>9525</xdr:colOff>
                    <xdr:row>54</xdr:row>
                    <xdr:rowOff>9525</xdr:rowOff>
                  </from>
                  <to>
                    <xdr:col>5</xdr:col>
                    <xdr:colOff>0</xdr:colOff>
                    <xdr:row>54</xdr:row>
                    <xdr:rowOff>304800</xdr:rowOff>
                  </to>
                </anchor>
              </controlPr>
            </control>
          </mc:Choice>
        </mc:AlternateContent>
        <mc:AlternateContent xmlns:mc="http://schemas.openxmlformats.org/markup-compatibility/2006">
          <mc:Choice Requires="x14">
            <control shapeId="11315" r:id="rId54" name="Option Button 51">
              <controlPr defaultSize="0" autoFill="0" autoLine="0" autoPict="0">
                <anchor moveWithCells="1">
                  <from>
                    <xdr:col>3</xdr:col>
                    <xdr:colOff>723900</xdr:colOff>
                    <xdr:row>54</xdr:row>
                    <xdr:rowOff>38100</xdr:rowOff>
                  </from>
                  <to>
                    <xdr:col>3</xdr:col>
                    <xdr:colOff>904875</xdr:colOff>
                    <xdr:row>54</xdr:row>
                    <xdr:rowOff>247650</xdr:rowOff>
                  </to>
                </anchor>
              </controlPr>
            </control>
          </mc:Choice>
        </mc:AlternateContent>
        <mc:AlternateContent xmlns:mc="http://schemas.openxmlformats.org/markup-compatibility/2006">
          <mc:Choice Requires="x14">
            <control shapeId="11316" r:id="rId55" name="Option Button 52">
              <controlPr defaultSize="0" autoFill="0" autoLine="0" autoPict="0">
                <anchor moveWithCells="1">
                  <from>
                    <xdr:col>4</xdr:col>
                    <xdr:colOff>723900</xdr:colOff>
                    <xdr:row>54</xdr:row>
                    <xdr:rowOff>47625</xdr:rowOff>
                  </from>
                  <to>
                    <xdr:col>4</xdr:col>
                    <xdr:colOff>942975</xdr:colOff>
                    <xdr:row>54</xdr:row>
                    <xdr:rowOff>228600</xdr:rowOff>
                  </to>
                </anchor>
              </controlPr>
            </control>
          </mc:Choice>
        </mc:AlternateContent>
        <mc:AlternateContent xmlns:mc="http://schemas.openxmlformats.org/markup-compatibility/2006">
          <mc:Choice Requires="x14">
            <control shapeId="11317" r:id="rId56" name="Drop Down 53">
              <controlPr defaultSize="0" autoLine="0" autoPict="0">
                <anchor moveWithCells="1">
                  <from>
                    <xdr:col>4</xdr:col>
                    <xdr:colOff>38100</xdr:colOff>
                    <xdr:row>54</xdr:row>
                    <xdr:rowOff>47625</xdr:rowOff>
                  </from>
                  <to>
                    <xdr:col>4</xdr:col>
                    <xdr:colOff>704850</xdr:colOff>
                    <xdr:row>54</xdr:row>
                    <xdr:rowOff>247650</xdr:rowOff>
                  </to>
                </anchor>
              </controlPr>
            </control>
          </mc:Choice>
        </mc:AlternateContent>
        <mc:AlternateContent xmlns:mc="http://schemas.openxmlformats.org/markup-compatibility/2006">
          <mc:Choice Requires="x14">
            <control shapeId="11318" r:id="rId57" name="Group Box 54">
              <controlPr defaultSize="0" autoFill="0" autoPict="0">
                <anchor moveWithCells="1">
                  <from>
                    <xdr:col>3</xdr:col>
                    <xdr:colOff>9525</xdr:colOff>
                    <xdr:row>55</xdr:row>
                    <xdr:rowOff>9525</xdr:rowOff>
                  </from>
                  <to>
                    <xdr:col>5</xdr:col>
                    <xdr:colOff>0</xdr:colOff>
                    <xdr:row>55</xdr:row>
                    <xdr:rowOff>304800</xdr:rowOff>
                  </to>
                </anchor>
              </controlPr>
            </control>
          </mc:Choice>
        </mc:AlternateContent>
        <mc:AlternateContent xmlns:mc="http://schemas.openxmlformats.org/markup-compatibility/2006">
          <mc:Choice Requires="x14">
            <control shapeId="11319" r:id="rId58" name="Option Button 55">
              <controlPr defaultSize="0" autoFill="0" autoLine="0" autoPict="0">
                <anchor moveWithCells="1">
                  <from>
                    <xdr:col>3</xdr:col>
                    <xdr:colOff>723900</xdr:colOff>
                    <xdr:row>55</xdr:row>
                    <xdr:rowOff>28575</xdr:rowOff>
                  </from>
                  <to>
                    <xdr:col>3</xdr:col>
                    <xdr:colOff>914400</xdr:colOff>
                    <xdr:row>55</xdr:row>
                    <xdr:rowOff>228600</xdr:rowOff>
                  </to>
                </anchor>
              </controlPr>
            </control>
          </mc:Choice>
        </mc:AlternateContent>
        <mc:AlternateContent xmlns:mc="http://schemas.openxmlformats.org/markup-compatibility/2006">
          <mc:Choice Requires="x14">
            <control shapeId="11320" r:id="rId59" name="Option Button 56">
              <controlPr defaultSize="0" autoFill="0" autoLine="0" autoPict="0">
                <anchor moveWithCells="1">
                  <from>
                    <xdr:col>4</xdr:col>
                    <xdr:colOff>714375</xdr:colOff>
                    <xdr:row>55</xdr:row>
                    <xdr:rowOff>38100</xdr:rowOff>
                  </from>
                  <to>
                    <xdr:col>4</xdr:col>
                    <xdr:colOff>914400</xdr:colOff>
                    <xdr:row>55</xdr:row>
                    <xdr:rowOff>247650</xdr:rowOff>
                  </to>
                </anchor>
              </controlPr>
            </control>
          </mc:Choice>
        </mc:AlternateContent>
        <mc:AlternateContent xmlns:mc="http://schemas.openxmlformats.org/markup-compatibility/2006">
          <mc:Choice Requires="x14">
            <control shapeId="11321" r:id="rId60" name="Drop Down 57">
              <controlPr defaultSize="0" autoLine="0" autoPict="0">
                <anchor moveWithCells="1">
                  <from>
                    <xdr:col>4</xdr:col>
                    <xdr:colOff>38100</xdr:colOff>
                    <xdr:row>55</xdr:row>
                    <xdr:rowOff>47625</xdr:rowOff>
                  </from>
                  <to>
                    <xdr:col>4</xdr:col>
                    <xdr:colOff>704850</xdr:colOff>
                    <xdr:row>55</xdr:row>
                    <xdr:rowOff>247650</xdr:rowOff>
                  </to>
                </anchor>
              </controlPr>
            </control>
          </mc:Choice>
        </mc:AlternateContent>
        <mc:AlternateContent xmlns:mc="http://schemas.openxmlformats.org/markup-compatibility/2006">
          <mc:Choice Requires="x14">
            <control shapeId="11322" r:id="rId61" name="Group Box 58">
              <controlPr defaultSize="0" autoFill="0" autoPict="0">
                <anchor moveWithCells="1">
                  <from>
                    <xdr:col>3</xdr:col>
                    <xdr:colOff>9525</xdr:colOff>
                    <xdr:row>56</xdr:row>
                    <xdr:rowOff>9525</xdr:rowOff>
                  </from>
                  <to>
                    <xdr:col>4</xdr:col>
                    <xdr:colOff>952500</xdr:colOff>
                    <xdr:row>57</xdr:row>
                    <xdr:rowOff>0</xdr:rowOff>
                  </to>
                </anchor>
              </controlPr>
            </control>
          </mc:Choice>
        </mc:AlternateContent>
        <mc:AlternateContent xmlns:mc="http://schemas.openxmlformats.org/markup-compatibility/2006">
          <mc:Choice Requires="x14">
            <control shapeId="11323" r:id="rId62" name="Option Button 59">
              <controlPr defaultSize="0" autoFill="0" autoLine="0" autoPict="0">
                <anchor moveWithCells="1">
                  <from>
                    <xdr:col>3</xdr:col>
                    <xdr:colOff>733425</xdr:colOff>
                    <xdr:row>56</xdr:row>
                    <xdr:rowOff>95250</xdr:rowOff>
                  </from>
                  <to>
                    <xdr:col>3</xdr:col>
                    <xdr:colOff>942975</xdr:colOff>
                    <xdr:row>56</xdr:row>
                    <xdr:rowOff>209550</xdr:rowOff>
                  </to>
                </anchor>
              </controlPr>
            </control>
          </mc:Choice>
        </mc:AlternateContent>
        <mc:AlternateContent xmlns:mc="http://schemas.openxmlformats.org/markup-compatibility/2006">
          <mc:Choice Requires="x14">
            <control shapeId="11324" r:id="rId63" name="Option Button 60">
              <controlPr defaultSize="0" autoFill="0" autoLine="0" autoPict="0">
                <anchor moveWithCells="1">
                  <from>
                    <xdr:col>4</xdr:col>
                    <xdr:colOff>714375</xdr:colOff>
                    <xdr:row>56</xdr:row>
                    <xdr:rowOff>95250</xdr:rowOff>
                  </from>
                  <to>
                    <xdr:col>4</xdr:col>
                    <xdr:colOff>914400</xdr:colOff>
                    <xdr:row>56</xdr:row>
                    <xdr:rowOff>209550</xdr:rowOff>
                  </to>
                </anchor>
              </controlPr>
            </control>
          </mc:Choice>
        </mc:AlternateContent>
        <mc:AlternateContent xmlns:mc="http://schemas.openxmlformats.org/markup-compatibility/2006">
          <mc:Choice Requires="x14">
            <control shapeId="11325" r:id="rId64" name="Drop Down 61">
              <controlPr defaultSize="0" autoLine="0" autoPict="0">
                <anchor moveWithCells="1">
                  <from>
                    <xdr:col>4</xdr:col>
                    <xdr:colOff>38100</xdr:colOff>
                    <xdr:row>56</xdr:row>
                    <xdr:rowOff>57150</xdr:rowOff>
                  </from>
                  <to>
                    <xdr:col>4</xdr:col>
                    <xdr:colOff>704850</xdr:colOff>
                    <xdr:row>56</xdr:row>
                    <xdr:rowOff>266700</xdr:rowOff>
                  </to>
                </anchor>
              </controlPr>
            </control>
          </mc:Choice>
        </mc:AlternateContent>
        <mc:AlternateContent xmlns:mc="http://schemas.openxmlformats.org/markup-compatibility/2006">
          <mc:Choice Requires="x14">
            <control shapeId="11326" r:id="rId65" name="Group Box 62">
              <controlPr defaultSize="0" autoFill="0" autoPict="0">
                <anchor moveWithCells="1">
                  <from>
                    <xdr:col>3</xdr:col>
                    <xdr:colOff>9525</xdr:colOff>
                    <xdr:row>70</xdr:row>
                    <xdr:rowOff>9525</xdr:rowOff>
                  </from>
                  <to>
                    <xdr:col>5</xdr:col>
                    <xdr:colOff>0</xdr:colOff>
                    <xdr:row>71</xdr:row>
                    <xdr:rowOff>0</xdr:rowOff>
                  </to>
                </anchor>
              </controlPr>
            </control>
          </mc:Choice>
        </mc:AlternateContent>
        <mc:AlternateContent xmlns:mc="http://schemas.openxmlformats.org/markup-compatibility/2006">
          <mc:Choice Requires="x14">
            <control shapeId="11327" r:id="rId66" name="Option Button 63">
              <controlPr defaultSize="0" autoFill="0" autoLine="0" autoPict="0">
                <anchor moveWithCells="1">
                  <from>
                    <xdr:col>3</xdr:col>
                    <xdr:colOff>714375</xdr:colOff>
                    <xdr:row>70</xdr:row>
                    <xdr:rowOff>28575</xdr:rowOff>
                  </from>
                  <to>
                    <xdr:col>3</xdr:col>
                    <xdr:colOff>895350</xdr:colOff>
                    <xdr:row>70</xdr:row>
                    <xdr:rowOff>228600</xdr:rowOff>
                  </to>
                </anchor>
              </controlPr>
            </control>
          </mc:Choice>
        </mc:AlternateContent>
        <mc:AlternateContent xmlns:mc="http://schemas.openxmlformats.org/markup-compatibility/2006">
          <mc:Choice Requires="x14">
            <control shapeId="11328" r:id="rId67" name="Option Button 64">
              <controlPr defaultSize="0" autoFill="0" autoLine="0" autoPict="0">
                <anchor moveWithCells="1">
                  <from>
                    <xdr:col>4</xdr:col>
                    <xdr:colOff>714375</xdr:colOff>
                    <xdr:row>70</xdr:row>
                    <xdr:rowOff>28575</xdr:rowOff>
                  </from>
                  <to>
                    <xdr:col>4</xdr:col>
                    <xdr:colOff>914400</xdr:colOff>
                    <xdr:row>70</xdr:row>
                    <xdr:rowOff>219075</xdr:rowOff>
                  </to>
                </anchor>
              </controlPr>
            </control>
          </mc:Choice>
        </mc:AlternateContent>
        <mc:AlternateContent xmlns:mc="http://schemas.openxmlformats.org/markup-compatibility/2006">
          <mc:Choice Requires="x14">
            <control shapeId="11329" r:id="rId68" name="Group Box 65">
              <controlPr defaultSize="0" autoFill="0" autoPict="0">
                <anchor moveWithCells="1">
                  <from>
                    <xdr:col>3</xdr:col>
                    <xdr:colOff>9525</xdr:colOff>
                    <xdr:row>73</xdr:row>
                    <xdr:rowOff>9525</xdr:rowOff>
                  </from>
                  <to>
                    <xdr:col>5</xdr:col>
                    <xdr:colOff>0</xdr:colOff>
                    <xdr:row>75</xdr:row>
                    <xdr:rowOff>0</xdr:rowOff>
                  </to>
                </anchor>
              </controlPr>
            </control>
          </mc:Choice>
        </mc:AlternateContent>
        <mc:AlternateContent xmlns:mc="http://schemas.openxmlformats.org/markup-compatibility/2006">
          <mc:Choice Requires="x14">
            <control shapeId="11330" r:id="rId69" name="Option Button 66">
              <controlPr defaultSize="0" autoFill="0" autoLine="0" autoPict="0">
                <anchor moveWithCells="1">
                  <from>
                    <xdr:col>3</xdr:col>
                    <xdr:colOff>390525</xdr:colOff>
                    <xdr:row>73</xdr:row>
                    <xdr:rowOff>28575</xdr:rowOff>
                  </from>
                  <to>
                    <xdr:col>3</xdr:col>
                    <xdr:colOff>590550</xdr:colOff>
                    <xdr:row>74</xdr:row>
                    <xdr:rowOff>0</xdr:rowOff>
                  </to>
                </anchor>
              </controlPr>
            </control>
          </mc:Choice>
        </mc:AlternateContent>
        <mc:AlternateContent xmlns:mc="http://schemas.openxmlformats.org/markup-compatibility/2006">
          <mc:Choice Requires="x14">
            <control shapeId="11331" r:id="rId70" name="Group Box 67">
              <controlPr defaultSize="0" autoFill="0" autoPict="0">
                <anchor moveWithCells="1">
                  <from>
                    <xdr:col>3</xdr:col>
                    <xdr:colOff>9525</xdr:colOff>
                    <xdr:row>102</xdr:row>
                    <xdr:rowOff>9525</xdr:rowOff>
                  </from>
                  <to>
                    <xdr:col>5</xdr:col>
                    <xdr:colOff>0</xdr:colOff>
                    <xdr:row>103</xdr:row>
                    <xdr:rowOff>9525</xdr:rowOff>
                  </to>
                </anchor>
              </controlPr>
            </control>
          </mc:Choice>
        </mc:AlternateContent>
        <mc:AlternateContent xmlns:mc="http://schemas.openxmlformats.org/markup-compatibility/2006">
          <mc:Choice Requires="x14">
            <control shapeId="11332" r:id="rId71" name="Option Button 68">
              <controlPr defaultSize="0" autoFill="0" autoLine="0" autoPict="0">
                <anchor moveWithCells="1">
                  <from>
                    <xdr:col>3</xdr:col>
                    <xdr:colOff>390525</xdr:colOff>
                    <xdr:row>102</xdr:row>
                    <xdr:rowOff>19050</xdr:rowOff>
                  </from>
                  <to>
                    <xdr:col>3</xdr:col>
                    <xdr:colOff>609600</xdr:colOff>
                    <xdr:row>102</xdr:row>
                    <xdr:rowOff>180975</xdr:rowOff>
                  </to>
                </anchor>
              </controlPr>
            </control>
          </mc:Choice>
        </mc:AlternateContent>
        <mc:AlternateContent xmlns:mc="http://schemas.openxmlformats.org/markup-compatibility/2006">
          <mc:Choice Requires="x14">
            <control shapeId="11333" r:id="rId72" name="Option Button 69">
              <controlPr defaultSize="0" autoFill="0" autoLine="0" autoPict="0">
                <anchor moveWithCells="1">
                  <from>
                    <xdr:col>4</xdr:col>
                    <xdr:colOff>381000</xdr:colOff>
                    <xdr:row>102</xdr:row>
                    <xdr:rowOff>19050</xdr:rowOff>
                  </from>
                  <to>
                    <xdr:col>4</xdr:col>
                    <xdr:colOff>581025</xdr:colOff>
                    <xdr:row>102</xdr:row>
                    <xdr:rowOff>190500</xdr:rowOff>
                  </to>
                </anchor>
              </controlPr>
            </control>
          </mc:Choice>
        </mc:AlternateContent>
        <mc:AlternateContent xmlns:mc="http://schemas.openxmlformats.org/markup-compatibility/2006">
          <mc:Choice Requires="x14">
            <control shapeId="11334" r:id="rId73" name="Group Box 70">
              <controlPr defaultSize="0" autoFill="0" autoPict="0">
                <anchor moveWithCells="1">
                  <from>
                    <xdr:col>3</xdr:col>
                    <xdr:colOff>9525</xdr:colOff>
                    <xdr:row>17</xdr:row>
                    <xdr:rowOff>9525</xdr:rowOff>
                  </from>
                  <to>
                    <xdr:col>5</xdr:col>
                    <xdr:colOff>9525</xdr:colOff>
                    <xdr:row>17</xdr:row>
                    <xdr:rowOff>238125</xdr:rowOff>
                  </to>
                </anchor>
              </controlPr>
            </control>
          </mc:Choice>
        </mc:AlternateContent>
        <mc:AlternateContent xmlns:mc="http://schemas.openxmlformats.org/markup-compatibility/2006">
          <mc:Choice Requires="x14">
            <control shapeId="11335" r:id="rId74" name="Option Button 71">
              <controlPr defaultSize="0" autoFill="0" autoLine="0" autoPict="0">
                <anchor moveWithCells="1">
                  <from>
                    <xdr:col>3</xdr:col>
                    <xdr:colOff>742950</xdr:colOff>
                    <xdr:row>17</xdr:row>
                    <xdr:rowOff>38100</xdr:rowOff>
                  </from>
                  <to>
                    <xdr:col>3</xdr:col>
                    <xdr:colOff>933450</xdr:colOff>
                    <xdr:row>17</xdr:row>
                    <xdr:rowOff>200025</xdr:rowOff>
                  </to>
                </anchor>
              </controlPr>
            </control>
          </mc:Choice>
        </mc:AlternateContent>
        <mc:AlternateContent xmlns:mc="http://schemas.openxmlformats.org/markup-compatibility/2006">
          <mc:Choice Requires="x14">
            <control shapeId="11336" r:id="rId75" name="Option Button 72">
              <controlPr defaultSize="0" autoFill="0" autoLine="0" autoPict="0">
                <anchor moveWithCells="1">
                  <from>
                    <xdr:col>4</xdr:col>
                    <xdr:colOff>695325</xdr:colOff>
                    <xdr:row>17</xdr:row>
                    <xdr:rowOff>38100</xdr:rowOff>
                  </from>
                  <to>
                    <xdr:col>4</xdr:col>
                    <xdr:colOff>885825</xdr:colOff>
                    <xdr:row>17</xdr:row>
                    <xdr:rowOff>209550</xdr:rowOff>
                  </to>
                </anchor>
              </controlPr>
            </control>
          </mc:Choice>
        </mc:AlternateContent>
        <mc:AlternateContent xmlns:mc="http://schemas.openxmlformats.org/markup-compatibility/2006">
          <mc:Choice Requires="x14">
            <control shapeId="11340" r:id="rId76" name="Group Box 76">
              <controlPr defaultSize="0" autoFill="0" autoPict="0">
                <anchor moveWithCells="1">
                  <from>
                    <xdr:col>3</xdr:col>
                    <xdr:colOff>9525</xdr:colOff>
                    <xdr:row>40</xdr:row>
                    <xdr:rowOff>9525</xdr:rowOff>
                  </from>
                  <to>
                    <xdr:col>4</xdr:col>
                    <xdr:colOff>952500</xdr:colOff>
                    <xdr:row>40</xdr:row>
                    <xdr:rowOff>371475</xdr:rowOff>
                  </to>
                </anchor>
              </controlPr>
            </control>
          </mc:Choice>
        </mc:AlternateContent>
        <mc:AlternateContent xmlns:mc="http://schemas.openxmlformats.org/markup-compatibility/2006">
          <mc:Choice Requires="x14">
            <control shapeId="11341" r:id="rId77" name="Option Button 77">
              <controlPr defaultSize="0" autoFill="0" autoLine="0" autoPict="0">
                <anchor moveWithCells="1">
                  <from>
                    <xdr:col>3</xdr:col>
                    <xdr:colOff>742950</xdr:colOff>
                    <xdr:row>40</xdr:row>
                    <xdr:rowOff>76200</xdr:rowOff>
                  </from>
                  <to>
                    <xdr:col>3</xdr:col>
                    <xdr:colOff>962025</xdr:colOff>
                    <xdr:row>40</xdr:row>
                    <xdr:rowOff>276225</xdr:rowOff>
                  </to>
                </anchor>
              </controlPr>
            </control>
          </mc:Choice>
        </mc:AlternateContent>
        <mc:AlternateContent xmlns:mc="http://schemas.openxmlformats.org/markup-compatibility/2006">
          <mc:Choice Requires="x14">
            <control shapeId="11342" r:id="rId78" name="Option Button 78">
              <controlPr defaultSize="0" autoFill="0" autoLine="0" autoPict="0">
                <anchor moveWithCells="1">
                  <from>
                    <xdr:col>4</xdr:col>
                    <xdr:colOff>704850</xdr:colOff>
                    <xdr:row>40</xdr:row>
                    <xdr:rowOff>114300</xdr:rowOff>
                  </from>
                  <to>
                    <xdr:col>4</xdr:col>
                    <xdr:colOff>895350</xdr:colOff>
                    <xdr:row>40</xdr:row>
                    <xdr:rowOff>276225</xdr:rowOff>
                  </to>
                </anchor>
              </controlPr>
            </control>
          </mc:Choice>
        </mc:AlternateContent>
        <mc:AlternateContent xmlns:mc="http://schemas.openxmlformats.org/markup-compatibility/2006">
          <mc:Choice Requires="x14">
            <control shapeId="11343" r:id="rId79" name="Group Box 79">
              <controlPr defaultSize="0" autoFill="0" autoPict="0">
                <anchor moveWithCells="1">
                  <from>
                    <xdr:col>3</xdr:col>
                    <xdr:colOff>9525</xdr:colOff>
                    <xdr:row>42</xdr:row>
                    <xdr:rowOff>9525</xdr:rowOff>
                  </from>
                  <to>
                    <xdr:col>4</xdr:col>
                    <xdr:colOff>952500</xdr:colOff>
                    <xdr:row>43</xdr:row>
                    <xdr:rowOff>0</xdr:rowOff>
                  </to>
                </anchor>
              </controlPr>
            </control>
          </mc:Choice>
        </mc:AlternateContent>
        <mc:AlternateContent xmlns:mc="http://schemas.openxmlformats.org/markup-compatibility/2006">
          <mc:Choice Requires="x14">
            <control shapeId="11344" r:id="rId80" name="Option Button 80">
              <controlPr defaultSize="0" autoFill="0" autoLine="0" autoPict="0">
                <anchor moveWithCells="1">
                  <from>
                    <xdr:col>3</xdr:col>
                    <xdr:colOff>733425</xdr:colOff>
                    <xdr:row>42</xdr:row>
                    <xdr:rowOff>47625</xdr:rowOff>
                  </from>
                  <to>
                    <xdr:col>3</xdr:col>
                    <xdr:colOff>914400</xdr:colOff>
                    <xdr:row>42</xdr:row>
                    <xdr:rowOff>200025</xdr:rowOff>
                  </to>
                </anchor>
              </controlPr>
            </control>
          </mc:Choice>
        </mc:AlternateContent>
        <mc:AlternateContent xmlns:mc="http://schemas.openxmlformats.org/markup-compatibility/2006">
          <mc:Choice Requires="x14">
            <control shapeId="11345" r:id="rId81" name="Option Button 81">
              <controlPr defaultSize="0" autoFill="0" autoLine="0" autoPict="0">
                <anchor moveWithCells="1">
                  <from>
                    <xdr:col>4</xdr:col>
                    <xdr:colOff>714375</xdr:colOff>
                    <xdr:row>42</xdr:row>
                    <xdr:rowOff>38100</xdr:rowOff>
                  </from>
                  <to>
                    <xdr:col>4</xdr:col>
                    <xdr:colOff>895350</xdr:colOff>
                    <xdr:row>42</xdr:row>
                    <xdr:rowOff>209550</xdr:rowOff>
                  </to>
                </anchor>
              </controlPr>
            </control>
          </mc:Choice>
        </mc:AlternateContent>
        <mc:AlternateContent xmlns:mc="http://schemas.openxmlformats.org/markup-compatibility/2006">
          <mc:Choice Requires="x14">
            <control shapeId="11346" r:id="rId82" name="Group Box 82">
              <controlPr defaultSize="0" autoFill="0" autoPict="0">
                <anchor moveWithCells="1">
                  <from>
                    <xdr:col>3</xdr:col>
                    <xdr:colOff>9525</xdr:colOff>
                    <xdr:row>36</xdr:row>
                    <xdr:rowOff>9525</xdr:rowOff>
                  </from>
                  <to>
                    <xdr:col>5</xdr:col>
                    <xdr:colOff>0</xdr:colOff>
                    <xdr:row>37</xdr:row>
                    <xdr:rowOff>0</xdr:rowOff>
                  </to>
                </anchor>
              </controlPr>
            </control>
          </mc:Choice>
        </mc:AlternateContent>
        <mc:AlternateContent xmlns:mc="http://schemas.openxmlformats.org/markup-compatibility/2006">
          <mc:Choice Requires="x14">
            <control shapeId="11347" r:id="rId83" name="Option Button 83">
              <controlPr defaultSize="0" autoFill="0" autoLine="0" autoPict="0">
                <anchor moveWithCells="1">
                  <from>
                    <xdr:col>3</xdr:col>
                    <xdr:colOff>742950</xdr:colOff>
                    <xdr:row>36</xdr:row>
                    <xdr:rowOff>76200</xdr:rowOff>
                  </from>
                  <to>
                    <xdr:col>3</xdr:col>
                    <xdr:colOff>942975</xdr:colOff>
                    <xdr:row>36</xdr:row>
                    <xdr:rowOff>266700</xdr:rowOff>
                  </to>
                </anchor>
              </controlPr>
            </control>
          </mc:Choice>
        </mc:AlternateContent>
        <mc:AlternateContent xmlns:mc="http://schemas.openxmlformats.org/markup-compatibility/2006">
          <mc:Choice Requires="x14">
            <control shapeId="11348" r:id="rId84" name="Option Button 84">
              <controlPr defaultSize="0" autoFill="0" autoLine="0" autoPict="0">
                <anchor moveWithCells="1">
                  <from>
                    <xdr:col>4</xdr:col>
                    <xdr:colOff>714375</xdr:colOff>
                    <xdr:row>36</xdr:row>
                    <xdr:rowOff>76200</xdr:rowOff>
                  </from>
                  <to>
                    <xdr:col>4</xdr:col>
                    <xdr:colOff>895350</xdr:colOff>
                    <xdr:row>36</xdr:row>
                    <xdr:rowOff>276225</xdr:rowOff>
                  </to>
                </anchor>
              </controlPr>
            </control>
          </mc:Choice>
        </mc:AlternateContent>
        <mc:AlternateContent xmlns:mc="http://schemas.openxmlformats.org/markup-compatibility/2006">
          <mc:Choice Requires="x14">
            <control shapeId="11349" r:id="rId85" name="Group Box 85">
              <controlPr defaultSize="0" autoFill="0" autoPict="0">
                <anchor moveWithCells="1">
                  <from>
                    <xdr:col>3</xdr:col>
                    <xdr:colOff>9525</xdr:colOff>
                    <xdr:row>38</xdr:row>
                    <xdr:rowOff>9525</xdr:rowOff>
                  </from>
                  <to>
                    <xdr:col>5</xdr:col>
                    <xdr:colOff>0</xdr:colOff>
                    <xdr:row>38</xdr:row>
                    <xdr:rowOff>371475</xdr:rowOff>
                  </to>
                </anchor>
              </controlPr>
            </control>
          </mc:Choice>
        </mc:AlternateContent>
        <mc:AlternateContent xmlns:mc="http://schemas.openxmlformats.org/markup-compatibility/2006">
          <mc:Choice Requires="x14">
            <control shapeId="11350" r:id="rId86" name="Option Button 86">
              <controlPr defaultSize="0" autoFill="0" autoLine="0" autoPict="0">
                <anchor moveWithCells="1">
                  <from>
                    <xdr:col>3</xdr:col>
                    <xdr:colOff>723900</xdr:colOff>
                    <xdr:row>38</xdr:row>
                    <xdr:rowOff>104775</xdr:rowOff>
                  </from>
                  <to>
                    <xdr:col>3</xdr:col>
                    <xdr:colOff>914400</xdr:colOff>
                    <xdr:row>38</xdr:row>
                    <xdr:rowOff>257175</xdr:rowOff>
                  </to>
                </anchor>
              </controlPr>
            </control>
          </mc:Choice>
        </mc:AlternateContent>
        <mc:AlternateContent xmlns:mc="http://schemas.openxmlformats.org/markup-compatibility/2006">
          <mc:Choice Requires="x14">
            <control shapeId="11351" r:id="rId87" name="Option Button 87">
              <controlPr defaultSize="0" autoFill="0" autoLine="0" autoPict="0">
                <anchor moveWithCells="1">
                  <from>
                    <xdr:col>4</xdr:col>
                    <xdr:colOff>723900</xdr:colOff>
                    <xdr:row>38</xdr:row>
                    <xdr:rowOff>95250</xdr:rowOff>
                  </from>
                  <to>
                    <xdr:col>4</xdr:col>
                    <xdr:colOff>895350</xdr:colOff>
                    <xdr:row>38</xdr:row>
                    <xdr:rowOff>247650</xdr:rowOff>
                  </to>
                </anchor>
              </controlPr>
            </control>
          </mc:Choice>
        </mc:AlternateContent>
        <mc:AlternateContent xmlns:mc="http://schemas.openxmlformats.org/markup-compatibility/2006">
          <mc:Choice Requires="x14">
            <control shapeId="11352" r:id="rId88" name="Option Button 88">
              <controlPr defaultSize="0" autoFill="0" autoLine="0" autoPict="0">
                <anchor moveWithCells="1">
                  <from>
                    <xdr:col>4</xdr:col>
                    <xdr:colOff>361950</xdr:colOff>
                    <xdr:row>73</xdr:row>
                    <xdr:rowOff>38100</xdr:rowOff>
                  </from>
                  <to>
                    <xdr:col>4</xdr:col>
                    <xdr:colOff>561975</xdr:colOff>
                    <xdr:row>73</xdr:row>
                    <xdr:rowOff>180975</xdr:rowOff>
                  </to>
                </anchor>
              </controlPr>
            </control>
          </mc:Choice>
        </mc:AlternateContent>
        <mc:AlternateContent xmlns:mc="http://schemas.openxmlformats.org/markup-compatibility/2006">
          <mc:Choice Requires="x14">
            <control shapeId="11353" r:id="rId89" name="Group Box 89">
              <controlPr defaultSize="0" autoFill="0" autoPict="0">
                <anchor moveWithCells="1">
                  <from>
                    <xdr:col>3</xdr:col>
                    <xdr:colOff>9525</xdr:colOff>
                    <xdr:row>68</xdr:row>
                    <xdr:rowOff>9525</xdr:rowOff>
                  </from>
                  <to>
                    <xdr:col>5</xdr:col>
                    <xdr:colOff>0</xdr:colOff>
                    <xdr:row>69</xdr:row>
                    <xdr:rowOff>9525</xdr:rowOff>
                  </to>
                </anchor>
              </controlPr>
            </control>
          </mc:Choice>
        </mc:AlternateContent>
        <mc:AlternateContent xmlns:mc="http://schemas.openxmlformats.org/markup-compatibility/2006">
          <mc:Choice Requires="x14">
            <control shapeId="11354" r:id="rId90" name="Option Button 90">
              <controlPr defaultSize="0" autoFill="0" autoLine="0" autoPict="0">
                <anchor moveWithCells="1">
                  <from>
                    <xdr:col>3</xdr:col>
                    <xdr:colOff>704850</xdr:colOff>
                    <xdr:row>68</xdr:row>
                    <xdr:rowOff>38100</xdr:rowOff>
                  </from>
                  <to>
                    <xdr:col>3</xdr:col>
                    <xdr:colOff>885825</xdr:colOff>
                    <xdr:row>68</xdr:row>
                    <xdr:rowOff>209550</xdr:rowOff>
                  </to>
                </anchor>
              </controlPr>
            </control>
          </mc:Choice>
        </mc:AlternateContent>
        <mc:AlternateContent xmlns:mc="http://schemas.openxmlformats.org/markup-compatibility/2006">
          <mc:Choice Requires="x14">
            <control shapeId="11355" r:id="rId91" name="Option Button 91">
              <controlPr defaultSize="0" autoFill="0" autoLine="0" autoPict="0">
                <anchor moveWithCells="1">
                  <from>
                    <xdr:col>4</xdr:col>
                    <xdr:colOff>704850</xdr:colOff>
                    <xdr:row>68</xdr:row>
                    <xdr:rowOff>38100</xdr:rowOff>
                  </from>
                  <to>
                    <xdr:col>4</xdr:col>
                    <xdr:colOff>895350</xdr:colOff>
                    <xdr:row>68</xdr:row>
                    <xdr:rowOff>190500</xdr:rowOff>
                  </to>
                </anchor>
              </controlPr>
            </control>
          </mc:Choice>
        </mc:AlternateContent>
        <mc:AlternateContent xmlns:mc="http://schemas.openxmlformats.org/markup-compatibility/2006">
          <mc:Choice Requires="x14">
            <control shapeId="11356" r:id="rId92" name="Group Box 92">
              <controlPr defaultSize="0" autoFill="0" autoPict="0">
                <anchor moveWithCells="1">
                  <from>
                    <xdr:col>3</xdr:col>
                    <xdr:colOff>0</xdr:colOff>
                    <xdr:row>71</xdr:row>
                    <xdr:rowOff>9525</xdr:rowOff>
                  </from>
                  <to>
                    <xdr:col>4</xdr:col>
                    <xdr:colOff>952500</xdr:colOff>
                    <xdr:row>72</xdr:row>
                    <xdr:rowOff>0</xdr:rowOff>
                  </to>
                </anchor>
              </controlPr>
            </control>
          </mc:Choice>
        </mc:AlternateContent>
        <mc:AlternateContent xmlns:mc="http://schemas.openxmlformats.org/markup-compatibility/2006">
          <mc:Choice Requires="x14">
            <control shapeId="11357" r:id="rId93" name="Option Button 93">
              <controlPr defaultSize="0" autoFill="0" autoLine="0" autoPict="0">
                <anchor moveWithCells="1">
                  <from>
                    <xdr:col>3</xdr:col>
                    <xdr:colOff>723900</xdr:colOff>
                    <xdr:row>71</xdr:row>
                    <xdr:rowOff>47625</xdr:rowOff>
                  </from>
                  <to>
                    <xdr:col>3</xdr:col>
                    <xdr:colOff>885825</xdr:colOff>
                    <xdr:row>71</xdr:row>
                    <xdr:rowOff>209550</xdr:rowOff>
                  </to>
                </anchor>
              </controlPr>
            </control>
          </mc:Choice>
        </mc:AlternateContent>
        <mc:AlternateContent xmlns:mc="http://schemas.openxmlformats.org/markup-compatibility/2006">
          <mc:Choice Requires="x14">
            <control shapeId="11358" r:id="rId94" name="Option Button 94">
              <controlPr defaultSize="0" autoFill="0" autoLine="0" autoPict="0">
                <anchor moveWithCells="1">
                  <from>
                    <xdr:col>4</xdr:col>
                    <xdr:colOff>723900</xdr:colOff>
                    <xdr:row>71</xdr:row>
                    <xdr:rowOff>38100</xdr:rowOff>
                  </from>
                  <to>
                    <xdr:col>4</xdr:col>
                    <xdr:colOff>914400</xdr:colOff>
                    <xdr:row>71</xdr:row>
                    <xdr:rowOff>200025</xdr:rowOff>
                  </to>
                </anchor>
              </controlPr>
            </control>
          </mc:Choice>
        </mc:AlternateContent>
        <mc:AlternateContent xmlns:mc="http://schemas.openxmlformats.org/markup-compatibility/2006">
          <mc:Choice Requires="x14">
            <control shapeId="11359" r:id="rId95" name="Group Box 95">
              <controlPr defaultSize="0" autoFill="0" autoPict="0">
                <anchor moveWithCells="1">
                  <from>
                    <xdr:col>3</xdr:col>
                    <xdr:colOff>0</xdr:colOff>
                    <xdr:row>4</xdr:row>
                    <xdr:rowOff>0</xdr:rowOff>
                  </from>
                  <to>
                    <xdr:col>5</xdr:col>
                    <xdr:colOff>0</xdr:colOff>
                    <xdr:row>5</xdr:row>
                    <xdr:rowOff>0</xdr:rowOff>
                  </to>
                </anchor>
              </controlPr>
            </control>
          </mc:Choice>
        </mc:AlternateContent>
        <mc:AlternateContent xmlns:mc="http://schemas.openxmlformats.org/markup-compatibility/2006">
          <mc:Choice Requires="x14">
            <control shapeId="11360" r:id="rId96" name="Option Button 96">
              <controlPr defaultSize="0" autoFill="0" autoLine="0" autoPict="0">
                <anchor moveWithCells="1">
                  <from>
                    <xdr:col>3</xdr:col>
                    <xdr:colOff>781050</xdr:colOff>
                    <xdr:row>4</xdr:row>
                    <xdr:rowOff>19050</xdr:rowOff>
                  </from>
                  <to>
                    <xdr:col>3</xdr:col>
                    <xdr:colOff>942975</xdr:colOff>
                    <xdr:row>4</xdr:row>
                    <xdr:rowOff>228600</xdr:rowOff>
                  </to>
                </anchor>
              </controlPr>
            </control>
          </mc:Choice>
        </mc:AlternateContent>
        <mc:AlternateContent xmlns:mc="http://schemas.openxmlformats.org/markup-compatibility/2006">
          <mc:Choice Requires="x14">
            <control shapeId="11361" r:id="rId97" name="Option Button 97">
              <controlPr defaultSize="0" autoFill="0" autoLine="0" autoPict="0">
                <anchor moveWithCells="1">
                  <from>
                    <xdr:col>4</xdr:col>
                    <xdr:colOff>771525</xdr:colOff>
                    <xdr:row>4</xdr:row>
                    <xdr:rowOff>19050</xdr:rowOff>
                  </from>
                  <to>
                    <xdr:col>5</xdr:col>
                    <xdr:colOff>0</xdr:colOff>
                    <xdr:row>4</xdr:row>
                    <xdr:rowOff>228600</xdr:rowOff>
                  </to>
                </anchor>
              </controlPr>
            </control>
          </mc:Choice>
        </mc:AlternateContent>
        <mc:AlternateContent xmlns:mc="http://schemas.openxmlformats.org/markup-compatibility/2006">
          <mc:Choice Requires="x14">
            <control shapeId="11362" r:id="rId98" name="Group Box 98">
              <controlPr defaultSize="0" autoFill="0" autoPict="0">
                <anchor moveWithCells="1">
                  <from>
                    <xdr:col>3</xdr:col>
                    <xdr:colOff>9525</xdr:colOff>
                    <xdr:row>5</xdr:row>
                    <xdr:rowOff>9525</xdr:rowOff>
                  </from>
                  <to>
                    <xdr:col>5</xdr:col>
                    <xdr:colOff>0</xdr:colOff>
                    <xdr:row>6</xdr:row>
                    <xdr:rowOff>0</xdr:rowOff>
                  </to>
                </anchor>
              </controlPr>
            </control>
          </mc:Choice>
        </mc:AlternateContent>
        <mc:AlternateContent xmlns:mc="http://schemas.openxmlformats.org/markup-compatibility/2006">
          <mc:Choice Requires="x14">
            <control shapeId="11363" r:id="rId99" name="Option Button 99">
              <controlPr defaultSize="0" autoFill="0" autoLine="0" autoPict="0">
                <anchor moveWithCells="1">
                  <from>
                    <xdr:col>3</xdr:col>
                    <xdr:colOff>790575</xdr:colOff>
                    <xdr:row>5</xdr:row>
                    <xdr:rowOff>19050</xdr:rowOff>
                  </from>
                  <to>
                    <xdr:col>3</xdr:col>
                    <xdr:colOff>952500</xdr:colOff>
                    <xdr:row>5</xdr:row>
                    <xdr:rowOff>219075</xdr:rowOff>
                  </to>
                </anchor>
              </controlPr>
            </control>
          </mc:Choice>
        </mc:AlternateContent>
        <mc:AlternateContent xmlns:mc="http://schemas.openxmlformats.org/markup-compatibility/2006">
          <mc:Choice Requires="x14">
            <control shapeId="11364" r:id="rId100" name="Option Button 100">
              <controlPr defaultSize="0" autoFill="0" autoLine="0" autoPict="0">
                <anchor moveWithCells="1">
                  <from>
                    <xdr:col>4</xdr:col>
                    <xdr:colOff>781050</xdr:colOff>
                    <xdr:row>5</xdr:row>
                    <xdr:rowOff>28575</xdr:rowOff>
                  </from>
                  <to>
                    <xdr:col>4</xdr:col>
                    <xdr:colOff>942975</xdr:colOff>
                    <xdr:row>5</xdr:row>
                    <xdr:rowOff>228600</xdr:rowOff>
                  </to>
                </anchor>
              </controlPr>
            </control>
          </mc:Choice>
        </mc:AlternateContent>
        <mc:AlternateContent xmlns:mc="http://schemas.openxmlformats.org/markup-compatibility/2006">
          <mc:Choice Requires="x14">
            <control shapeId="11365" r:id="rId101" name="Group Box 101">
              <controlPr defaultSize="0" autoFill="0" autoPict="0">
                <anchor moveWithCells="1">
                  <from>
                    <xdr:col>3</xdr:col>
                    <xdr:colOff>0</xdr:colOff>
                    <xdr:row>6</xdr:row>
                    <xdr:rowOff>9525</xdr:rowOff>
                  </from>
                  <to>
                    <xdr:col>5</xdr:col>
                    <xdr:colOff>0</xdr:colOff>
                    <xdr:row>7</xdr:row>
                    <xdr:rowOff>0</xdr:rowOff>
                  </to>
                </anchor>
              </controlPr>
            </control>
          </mc:Choice>
        </mc:AlternateContent>
        <mc:AlternateContent xmlns:mc="http://schemas.openxmlformats.org/markup-compatibility/2006">
          <mc:Choice Requires="x14">
            <control shapeId="11366" r:id="rId102" name="Option Button 102">
              <controlPr defaultSize="0" autoFill="0" autoLine="0" autoPict="0">
                <anchor moveWithCells="1">
                  <from>
                    <xdr:col>3</xdr:col>
                    <xdr:colOff>790575</xdr:colOff>
                    <xdr:row>6</xdr:row>
                    <xdr:rowOff>28575</xdr:rowOff>
                  </from>
                  <to>
                    <xdr:col>3</xdr:col>
                    <xdr:colOff>933450</xdr:colOff>
                    <xdr:row>6</xdr:row>
                    <xdr:rowOff>228600</xdr:rowOff>
                  </to>
                </anchor>
              </controlPr>
            </control>
          </mc:Choice>
        </mc:AlternateContent>
        <mc:AlternateContent xmlns:mc="http://schemas.openxmlformats.org/markup-compatibility/2006">
          <mc:Choice Requires="x14">
            <control shapeId="11367" r:id="rId103" name="Option Button 103">
              <controlPr defaultSize="0" autoFill="0" autoLine="0" autoPict="0">
                <anchor moveWithCells="1">
                  <from>
                    <xdr:col>4</xdr:col>
                    <xdr:colOff>781050</xdr:colOff>
                    <xdr:row>6</xdr:row>
                    <xdr:rowOff>28575</xdr:rowOff>
                  </from>
                  <to>
                    <xdr:col>4</xdr:col>
                    <xdr:colOff>952500</xdr:colOff>
                    <xdr:row>6</xdr:row>
                    <xdr:rowOff>228600</xdr:rowOff>
                  </to>
                </anchor>
              </controlPr>
            </control>
          </mc:Choice>
        </mc:AlternateContent>
        <mc:AlternateContent xmlns:mc="http://schemas.openxmlformats.org/markup-compatibility/2006">
          <mc:Choice Requires="x14">
            <control shapeId="11368" r:id="rId104" name="Group Box 104">
              <controlPr defaultSize="0" autoFill="0" autoPict="0">
                <anchor moveWithCells="1">
                  <from>
                    <xdr:col>3</xdr:col>
                    <xdr:colOff>0</xdr:colOff>
                    <xdr:row>44</xdr:row>
                    <xdr:rowOff>0</xdr:rowOff>
                  </from>
                  <to>
                    <xdr:col>5</xdr:col>
                    <xdr:colOff>0</xdr:colOff>
                    <xdr:row>45</xdr:row>
                    <xdr:rowOff>0</xdr:rowOff>
                  </to>
                </anchor>
              </controlPr>
            </control>
          </mc:Choice>
        </mc:AlternateContent>
        <mc:AlternateContent xmlns:mc="http://schemas.openxmlformats.org/markup-compatibility/2006">
          <mc:Choice Requires="x14">
            <control shapeId="11369" r:id="rId105" name="Option Button 105">
              <controlPr defaultSize="0" autoFill="0" autoLine="0" autoPict="0">
                <anchor moveWithCells="1">
                  <from>
                    <xdr:col>3</xdr:col>
                    <xdr:colOff>771525</xdr:colOff>
                    <xdr:row>44</xdr:row>
                    <xdr:rowOff>28575</xdr:rowOff>
                  </from>
                  <to>
                    <xdr:col>3</xdr:col>
                    <xdr:colOff>971550</xdr:colOff>
                    <xdr:row>44</xdr:row>
                    <xdr:rowOff>209550</xdr:rowOff>
                  </to>
                </anchor>
              </controlPr>
            </control>
          </mc:Choice>
        </mc:AlternateContent>
        <mc:AlternateContent xmlns:mc="http://schemas.openxmlformats.org/markup-compatibility/2006">
          <mc:Choice Requires="x14">
            <control shapeId="11370" r:id="rId106" name="Option Button 106">
              <controlPr defaultSize="0" autoFill="0" autoLine="0" autoPict="0">
                <anchor moveWithCells="1">
                  <from>
                    <xdr:col>4</xdr:col>
                    <xdr:colOff>704850</xdr:colOff>
                    <xdr:row>44</xdr:row>
                    <xdr:rowOff>28575</xdr:rowOff>
                  </from>
                  <to>
                    <xdr:col>4</xdr:col>
                    <xdr:colOff>885825</xdr:colOff>
                    <xdr:row>44</xdr:row>
                    <xdr:rowOff>219075</xdr:rowOff>
                  </to>
                </anchor>
              </controlPr>
            </control>
          </mc:Choice>
        </mc:AlternateContent>
        <mc:AlternateContent xmlns:mc="http://schemas.openxmlformats.org/markup-compatibility/2006">
          <mc:Choice Requires="x14">
            <control shapeId="11371" r:id="rId107" name="Group Box 107">
              <controlPr defaultSize="0" autoFill="0" autoPict="0">
                <anchor moveWithCells="1">
                  <from>
                    <xdr:col>3</xdr:col>
                    <xdr:colOff>0</xdr:colOff>
                    <xdr:row>45</xdr:row>
                    <xdr:rowOff>9525</xdr:rowOff>
                  </from>
                  <to>
                    <xdr:col>5</xdr:col>
                    <xdr:colOff>0</xdr:colOff>
                    <xdr:row>46</xdr:row>
                    <xdr:rowOff>0</xdr:rowOff>
                  </to>
                </anchor>
              </controlPr>
            </control>
          </mc:Choice>
        </mc:AlternateContent>
        <mc:AlternateContent xmlns:mc="http://schemas.openxmlformats.org/markup-compatibility/2006">
          <mc:Choice Requires="x14">
            <control shapeId="11372" r:id="rId108" name="Option Button 108">
              <controlPr defaultSize="0" autoFill="0" autoLine="0" autoPict="0">
                <anchor moveWithCells="1">
                  <from>
                    <xdr:col>3</xdr:col>
                    <xdr:colOff>771525</xdr:colOff>
                    <xdr:row>45</xdr:row>
                    <xdr:rowOff>38100</xdr:rowOff>
                  </from>
                  <to>
                    <xdr:col>3</xdr:col>
                    <xdr:colOff>942975</xdr:colOff>
                    <xdr:row>45</xdr:row>
                    <xdr:rowOff>209550</xdr:rowOff>
                  </to>
                </anchor>
              </controlPr>
            </control>
          </mc:Choice>
        </mc:AlternateContent>
        <mc:AlternateContent xmlns:mc="http://schemas.openxmlformats.org/markup-compatibility/2006">
          <mc:Choice Requires="x14">
            <control shapeId="11373" r:id="rId109" name="Option Button 109">
              <controlPr defaultSize="0" autoFill="0" autoLine="0" autoPict="0">
                <anchor moveWithCells="1">
                  <from>
                    <xdr:col>4</xdr:col>
                    <xdr:colOff>704850</xdr:colOff>
                    <xdr:row>45</xdr:row>
                    <xdr:rowOff>38100</xdr:rowOff>
                  </from>
                  <to>
                    <xdr:col>4</xdr:col>
                    <xdr:colOff>885825</xdr:colOff>
                    <xdr:row>45</xdr:row>
                    <xdr:rowOff>209550</xdr:rowOff>
                  </to>
                </anchor>
              </controlPr>
            </control>
          </mc:Choice>
        </mc:AlternateContent>
        <mc:AlternateContent xmlns:mc="http://schemas.openxmlformats.org/markup-compatibility/2006">
          <mc:Choice Requires="x14">
            <control shapeId="11374" r:id="rId110" name="Group Box 110">
              <controlPr defaultSize="0" autoFill="0" autoPict="0">
                <anchor moveWithCells="1">
                  <from>
                    <xdr:col>2</xdr:col>
                    <xdr:colOff>1905000</xdr:colOff>
                    <xdr:row>46</xdr:row>
                    <xdr:rowOff>19050</xdr:rowOff>
                  </from>
                  <to>
                    <xdr:col>5</xdr:col>
                    <xdr:colOff>0</xdr:colOff>
                    <xdr:row>47</xdr:row>
                    <xdr:rowOff>0</xdr:rowOff>
                  </to>
                </anchor>
              </controlPr>
            </control>
          </mc:Choice>
        </mc:AlternateContent>
        <mc:AlternateContent xmlns:mc="http://schemas.openxmlformats.org/markup-compatibility/2006">
          <mc:Choice Requires="x14">
            <control shapeId="11375" r:id="rId111" name="Option Button 111">
              <controlPr defaultSize="0" autoFill="0" autoLine="0" autoPict="0">
                <anchor moveWithCells="1">
                  <from>
                    <xdr:col>3</xdr:col>
                    <xdr:colOff>771525</xdr:colOff>
                    <xdr:row>46</xdr:row>
                    <xdr:rowOff>47625</xdr:rowOff>
                  </from>
                  <to>
                    <xdr:col>4</xdr:col>
                    <xdr:colOff>0</xdr:colOff>
                    <xdr:row>46</xdr:row>
                    <xdr:rowOff>238125</xdr:rowOff>
                  </to>
                </anchor>
              </controlPr>
            </control>
          </mc:Choice>
        </mc:AlternateContent>
        <mc:AlternateContent xmlns:mc="http://schemas.openxmlformats.org/markup-compatibility/2006">
          <mc:Choice Requires="x14">
            <control shapeId="11376" r:id="rId112" name="Option Button 112">
              <controlPr defaultSize="0" autoFill="0" autoLine="0" autoPict="0">
                <anchor moveWithCells="1">
                  <from>
                    <xdr:col>4</xdr:col>
                    <xdr:colOff>714375</xdr:colOff>
                    <xdr:row>46</xdr:row>
                    <xdr:rowOff>57150</xdr:rowOff>
                  </from>
                  <to>
                    <xdr:col>4</xdr:col>
                    <xdr:colOff>914400</xdr:colOff>
                    <xdr:row>46</xdr:row>
                    <xdr:rowOff>238125</xdr:rowOff>
                  </to>
                </anchor>
              </controlPr>
            </control>
          </mc:Choice>
        </mc:AlternateContent>
        <mc:AlternateContent xmlns:mc="http://schemas.openxmlformats.org/markup-compatibility/2006">
          <mc:Choice Requires="x14">
            <control shapeId="11377" r:id="rId113" name="Group Box 113">
              <controlPr defaultSize="0" autoFill="0" autoPict="0">
                <anchor moveWithCells="1">
                  <from>
                    <xdr:col>3</xdr:col>
                    <xdr:colOff>0</xdr:colOff>
                    <xdr:row>47</xdr:row>
                    <xdr:rowOff>9525</xdr:rowOff>
                  </from>
                  <to>
                    <xdr:col>5</xdr:col>
                    <xdr:colOff>0</xdr:colOff>
                    <xdr:row>48</xdr:row>
                    <xdr:rowOff>0</xdr:rowOff>
                  </to>
                </anchor>
              </controlPr>
            </control>
          </mc:Choice>
        </mc:AlternateContent>
        <mc:AlternateContent xmlns:mc="http://schemas.openxmlformats.org/markup-compatibility/2006">
          <mc:Choice Requires="x14">
            <control shapeId="11378" r:id="rId114" name="Option Button 114">
              <controlPr defaultSize="0" autoFill="0" autoLine="0" autoPict="0">
                <anchor moveWithCells="1">
                  <from>
                    <xdr:col>3</xdr:col>
                    <xdr:colOff>771525</xdr:colOff>
                    <xdr:row>47</xdr:row>
                    <xdr:rowOff>19050</xdr:rowOff>
                  </from>
                  <to>
                    <xdr:col>3</xdr:col>
                    <xdr:colOff>942975</xdr:colOff>
                    <xdr:row>47</xdr:row>
                    <xdr:rowOff>219075</xdr:rowOff>
                  </to>
                </anchor>
              </controlPr>
            </control>
          </mc:Choice>
        </mc:AlternateContent>
        <mc:AlternateContent xmlns:mc="http://schemas.openxmlformats.org/markup-compatibility/2006">
          <mc:Choice Requires="x14">
            <control shapeId="11379" r:id="rId115" name="Option Button 115">
              <controlPr defaultSize="0" autoFill="0" autoLine="0" autoPict="0">
                <anchor moveWithCells="1">
                  <from>
                    <xdr:col>4</xdr:col>
                    <xdr:colOff>704850</xdr:colOff>
                    <xdr:row>47</xdr:row>
                    <xdr:rowOff>28575</xdr:rowOff>
                  </from>
                  <to>
                    <xdr:col>4</xdr:col>
                    <xdr:colOff>885825</xdr:colOff>
                    <xdr:row>47</xdr:row>
                    <xdr:rowOff>219075</xdr:rowOff>
                  </to>
                </anchor>
              </controlPr>
            </control>
          </mc:Choice>
        </mc:AlternateContent>
        <mc:AlternateContent xmlns:mc="http://schemas.openxmlformats.org/markup-compatibility/2006">
          <mc:Choice Requires="x14">
            <control shapeId="11380" r:id="rId116" name="Group Box 116">
              <controlPr defaultSize="0" autoFill="0" autoPict="0">
                <anchor moveWithCells="1">
                  <from>
                    <xdr:col>3</xdr:col>
                    <xdr:colOff>0</xdr:colOff>
                    <xdr:row>58</xdr:row>
                    <xdr:rowOff>0</xdr:rowOff>
                  </from>
                  <to>
                    <xdr:col>5</xdr:col>
                    <xdr:colOff>0</xdr:colOff>
                    <xdr:row>59</xdr:row>
                    <xdr:rowOff>0</xdr:rowOff>
                  </to>
                </anchor>
              </controlPr>
            </control>
          </mc:Choice>
        </mc:AlternateContent>
        <mc:AlternateContent xmlns:mc="http://schemas.openxmlformats.org/markup-compatibility/2006">
          <mc:Choice Requires="x14">
            <control shapeId="11381" r:id="rId117" name="Option Button 117">
              <controlPr defaultSize="0" autoFill="0" autoLine="0" autoPict="0">
                <anchor moveWithCells="1">
                  <from>
                    <xdr:col>3</xdr:col>
                    <xdr:colOff>809625</xdr:colOff>
                    <xdr:row>58</xdr:row>
                    <xdr:rowOff>28575</xdr:rowOff>
                  </from>
                  <to>
                    <xdr:col>3</xdr:col>
                    <xdr:colOff>952500</xdr:colOff>
                    <xdr:row>58</xdr:row>
                    <xdr:rowOff>228600</xdr:rowOff>
                  </to>
                </anchor>
              </controlPr>
            </control>
          </mc:Choice>
        </mc:AlternateContent>
        <mc:AlternateContent xmlns:mc="http://schemas.openxmlformats.org/markup-compatibility/2006">
          <mc:Choice Requires="x14">
            <control shapeId="11382" r:id="rId118" name="Option Button 118">
              <controlPr defaultSize="0" autoFill="0" autoLine="0" autoPict="0">
                <anchor moveWithCells="1">
                  <from>
                    <xdr:col>4</xdr:col>
                    <xdr:colOff>704850</xdr:colOff>
                    <xdr:row>58</xdr:row>
                    <xdr:rowOff>38100</xdr:rowOff>
                  </from>
                  <to>
                    <xdr:col>4</xdr:col>
                    <xdr:colOff>876300</xdr:colOff>
                    <xdr:row>58</xdr:row>
                    <xdr:rowOff>228600</xdr:rowOff>
                  </to>
                </anchor>
              </controlPr>
            </control>
          </mc:Choice>
        </mc:AlternateContent>
        <mc:AlternateContent xmlns:mc="http://schemas.openxmlformats.org/markup-compatibility/2006">
          <mc:Choice Requires="x14">
            <control shapeId="11383" r:id="rId119" name="Group Box 119">
              <controlPr defaultSize="0" autoFill="0" autoPict="0">
                <anchor moveWithCells="1">
                  <from>
                    <xdr:col>3</xdr:col>
                    <xdr:colOff>0</xdr:colOff>
                    <xdr:row>59</xdr:row>
                    <xdr:rowOff>9525</xdr:rowOff>
                  </from>
                  <to>
                    <xdr:col>5</xdr:col>
                    <xdr:colOff>0</xdr:colOff>
                    <xdr:row>60</xdr:row>
                    <xdr:rowOff>0</xdr:rowOff>
                  </to>
                </anchor>
              </controlPr>
            </control>
          </mc:Choice>
        </mc:AlternateContent>
        <mc:AlternateContent xmlns:mc="http://schemas.openxmlformats.org/markup-compatibility/2006">
          <mc:Choice Requires="x14">
            <control shapeId="11384" r:id="rId120" name="Option Button 120">
              <controlPr defaultSize="0" autoFill="0" autoLine="0" autoPict="0">
                <anchor moveWithCells="1">
                  <from>
                    <xdr:col>3</xdr:col>
                    <xdr:colOff>800100</xdr:colOff>
                    <xdr:row>59</xdr:row>
                    <xdr:rowOff>19050</xdr:rowOff>
                  </from>
                  <to>
                    <xdr:col>3</xdr:col>
                    <xdr:colOff>962025</xdr:colOff>
                    <xdr:row>59</xdr:row>
                    <xdr:rowOff>209550</xdr:rowOff>
                  </to>
                </anchor>
              </controlPr>
            </control>
          </mc:Choice>
        </mc:AlternateContent>
        <mc:AlternateContent xmlns:mc="http://schemas.openxmlformats.org/markup-compatibility/2006">
          <mc:Choice Requires="x14">
            <control shapeId="11385" r:id="rId121" name="Option Button 121">
              <controlPr defaultSize="0" autoFill="0" autoLine="0" autoPict="0">
                <anchor moveWithCells="1">
                  <from>
                    <xdr:col>4</xdr:col>
                    <xdr:colOff>704850</xdr:colOff>
                    <xdr:row>59</xdr:row>
                    <xdr:rowOff>19050</xdr:rowOff>
                  </from>
                  <to>
                    <xdr:col>4</xdr:col>
                    <xdr:colOff>866775</xdr:colOff>
                    <xdr:row>59</xdr:row>
                    <xdr:rowOff>209550</xdr:rowOff>
                  </to>
                </anchor>
              </controlPr>
            </control>
          </mc:Choice>
        </mc:AlternateContent>
        <mc:AlternateContent xmlns:mc="http://schemas.openxmlformats.org/markup-compatibility/2006">
          <mc:Choice Requires="x14">
            <control shapeId="11386" r:id="rId122" name="Group Box 122">
              <controlPr defaultSize="0" autoFill="0" autoPict="0">
                <anchor moveWithCells="1">
                  <from>
                    <xdr:col>3</xdr:col>
                    <xdr:colOff>0</xdr:colOff>
                    <xdr:row>60</xdr:row>
                    <xdr:rowOff>9525</xdr:rowOff>
                  </from>
                  <to>
                    <xdr:col>5</xdr:col>
                    <xdr:colOff>0</xdr:colOff>
                    <xdr:row>61</xdr:row>
                    <xdr:rowOff>0</xdr:rowOff>
                  </to>
                </anchor>
              </controlPr>
            </control>
          </mc:Choice>
        </mc:AlternateContent>
        <mc:AlternateContent xmlns:mc="http://schemas.openxmlformats.org/markup-compatibility/2006">
          <mc:Choice Requires="x14">
            <control shapeId="11387" r:id="rId123" name="Option Button 123">
              <controlPr defaultSize="0" autoFill="0" autoLine="0" autoPict="0">
                <anchor moveWithCells="1">
                  <from>
                    <xdr:col>3</xdr:col>
                    <xdr:colOff>800100</xdr:colOff>
                    <xdr:row>60</xdr:row>
                    <xdr:rowOff>28575</xdr:rowOff>
                  </from>
                  <to>
                    <xdr:col>3</xdr:col>
                    <xdr:colOff>962025</xdr:colOff>
                    <xdr:row>60</xdr:row>
                    <xdr:rowOff>228600</xdr:rowOff>
                  </to>
                </anchor>
              </controlPr>
            </control>
          </mc:Choice>
        </mc:AlternateContent>
        <mc:AlternateContent xmlns:mc="http://schemas.openxmlformats.org/markup-compatibility/2006">
          <mc:Choice Requires="x14">
            <control shapeId="11388" r:id="rId124" name="Option Button 124">
              <controlPr defaultSize="0" autoFill="0" autoLine="0" autoPict="0">
                <anchor moveWithCells="1">
                  <from>
                    <xdr:col>4</xdr:col>
                    <xdr:colOff>704850</xdr:colOff>
                    <xdr:row>60</xdr:row>
                    <xdr:rowOff>28575</xdr:rowOff>
                  </from>
                  <to>
                    <xdr:col>4</xdr:col>
                    <xdr:colOff>857250</xdr:colOff>
                    <xdr:row>60</xdr:row>
                    <xdr:rowOff>228600</xdr:rowOff>
                  </to>
                </anchor>
              </controlPr>
            </control>
          </mc:Choice>
        </mc:AlternateContent>
        <mc:AlternateContent xmlns:mc="http://schemas.openxmlformats.org/markup-compatibility/2006">
          <mc:Choice Requires="x14">
            <control shapeId="11389" r:id="rId125" name="Group Box 125">
              <controlPr defaultSize="0" autoFill="0" autoPict="0">
                <anchor moveWithCells="1">
                  <from>
                    <xdr:col>3</xdr:col>
                    <xdr:colOff>0</xdr:colOff>
                    <xdr:row>61</xdr:row>
                    <xdr:rowOff>9525</xdr:rowOff>
                  </from>
                  <to>
                    <xdr:col>5</xdr:col>
                    <xdr:colOff>0</xdr:colOff>
                    <xdr:row>62</xdr:row>
                    <xdr:rowOff>0</xdr:rowOff>
                  </to>
                </anchor>
              </controlPr>
            </control>
          </mc:Choice>
        </mc:AlternateContent>
        <mc:AlternateContent xmlns:mc="http://schemas.openxmlformats.org/markup-compatibility/2006">
          <mc:Choice Requires="x14">
            <control shapeId="11390" r:id="rId126" name="Option Button 126">
              <controlPr defaultSize="0" autoFill="0" autoLine="0" autoPict="0">
                <anchor moveWithCells="1">
                  <from>
                    <xdr:col>3</xdr:col>
                    <xdr:colOff>800100</xdr:colOff>
                    <xdr:row>61</xdr:row>
                    <xdr:rowOff>28575</xdr:rowOff>
                  </from>
                  <to>
                    <xdr:col>4</xdr:col>
                    <xdr:colOff>0</xdr:colOff>
                    <xdr:row>61</xdr:row>
                    <xdr:rowOff>219075</xdr:rowOff>
                  </to>
                </anchor>
              </controlPr>
            </control>
          </mc:Choice>
        </mc:AlternateContent>
        <mc:AlternateContent xmlns:mc="http://schemas.openxmlformats.org/markup-compatibility/2006">
          <mc:Choice Requires="x14">
            <control shapeId="11391" r:id="rId127" name="Option Button 127">
              <controlPr defaultSize="0" autoFill="0" autoLine="0" autoPict="0">
                <anchor moveWithCells="1">
                  <from>
                    <xdr:col>4</xdr:col>
                    <xdr:colOff>704850</xdr:colOff>
                    <xdr:row>61</xdr:row>
                    <xdr:rowOff>28575</xdr:rowOff>
                  </from>
                  <to>
                    <xdr:col>4</xdr:col>
                    <xdr:colOff>866775</xdr:colOff>
                    <xdr:row>61</xdr:row>
                    <xdr:rowOff>228600</xdr:rowOff>
                  </to>
                </anchor>
              </controlPr>
            </control>
          </mc:Choice>
        </mc:AlternateContent>
        <mc:AlternateContent xmlns:mc="http://schemas.openxmlformats.org/markup-compatibility/2006">
          <mc:Choice Requires="x14">
            <control shapeId="11392" r:id="rId128" name="Group Box 128">
              <controlPr defaultSize="0" autoFill="0" autoPict="0">
                <anchor moveWithCells="1">
                  <from>
                    <xdr:col>3</xdr:col>
                    <xdr:colOff>0</xdr:colOff>
                    <xdr:row>62</xdr:row>
                    <xdr:rowOff>9525</xdr:rowOff>
                  </from>
                  <to>
                    <xdr:col>5</xdr:col>
                    <xdr:colOff>0</xdr:colOff>
                    <xdr:row>63</xdr:row>
                    <xdr:rowOff>0</xdr:rowOff>
                  </to>
                </anchor>
              </controlPr>
            </control>
          </mc:Choice>
        </mc:AlternateContent>
        <mc:AlternateContent xmlns:mc="http://schemas.openxmlformats.org/markup-compatibility/2006">
          <mc:Choice Requires="x14">
            <control shapeId="11393" r:id="rId129" name="Option Button 129">
              <controlPr defaultSize="0" autoFill="0" autoLine="0" autoPict="0">
                <anchor moveWithCells="1">
                  <from>
                    <xdr:col>3</xdr:col>
                    <xdr:colOff>800100</xdr:colOff>
                    <xdr:row>62</xdr:row>
                    <xdr:rowOff>28575</xdr:rowOff>
                  </from>
                  <to>
                    <xdr:col>3</xdr:col>
                    <xdr:colOff>962025</xdr:colOff>
                    <xdr:row>62</xdr:row>
                    <xdr:rowOff>228600</xdr:rowOff>
                  </to>
                </anchor>
              </controlPr>
            </control>
          </mc:Choice>
        </mc:AlternateContent>
        <mc:AlternateContent xmlns:mc="http://schemas.openxmlformats.org/markup-compatibility/2006">
          <mc:Choice Requires="x14">
            <control shapeId="11394" r:id="rId130" name="Option Button 130">
              <controlPr defaultSize="0" autoFill="0" autoLine="0" autoPict="0">
                <anchor moveWithCells="1">
                  <from>
                    <xdr:col>4</xdr:col>
                    <xdr:colOff>714375</xdr:colOff>
                    <xdr:row>62</xdr:row>
                    <xdr:rowOff>38100</xdr:rowOff>
                  </from>
                  <to>
                    <xdr:col>4</xdr:col>
                    <xdr:colOff>876300</xdr:colOff>
                    <xdr:row>62</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78D3A49D-3ADF-4180-BB54-81FC52094DE8}">
            <xm:f>AND(OR($E$101&lt;0.95,$E$101&gt;1.05),'R4UD_Ref'!$E$69=2)</xm:f>
            <x14:dxf>
              <fill>
                <patternFill>
                  <bgColor rgb="FFFF0000"/>
                </patternFill>
              </fill>
            </x14:dxf>
          </x14:cfRule>
          <xm:sqref>E101</xm:sqref>
        </x14:conditionalFormatting>
        <x14:conditionalFormatting xmlns:xm="http://schemas.microsoft.com/office/excel/2006/main">
          <x14:cfRule type="expression" priority="3" id="{B5D397D9-A15F-40CA-8208-05238394773C}">
            <xm:f>AND(OR($E$109&lt;0.95,$E$109&gt;1.05),'R4UD_Ref'!$E$73=2)</xm:f>
            <x14:dxf>
              <fill>
                <patternFill>
                  <bgColor rgb="FFFF0000"/>
                </patternFill>
              </fill>
            </x14:dxf>
          </x14:cfRule>
          <xm:sqref>E110</xm:sqref>
        </x14:conditionalFormatting>
        <x14:conditionalFormatting xmlns:xm="http://schemas.microsoft.com/office/excel/2006/main">
          <x14:cfRule type="expression" priority="2" id="{350072AB-E532-4E8B-851C-CFF96F340610}">
            <xm:f>AND(OR($E$109&lt;0.95,$E$109&gt;1.05),'R4UD_Ref'!$E$73=2)</xm:f>
            <x14:dxf>
              <fill>
                <patternFill>
                  <bgColor rgb="FFFF0000"/>
                </patternFill>
              </fill>
            </x14:dxf>
          </x14:cfRule>
          <xm:sqref>E118</xm:sqref>
        </x14:conditionalFormatting>
        <x14:conditionalFormatting xmlns:xm="http://schemas.microsoft.com/office/excel/2006/main">
          <x14:cfRule type="expression" priority="1" id="{E18D70E5-6238-4314-9F7A-5687AFBC05BE}">
            <xm:f>AND(OR($E$87&lt;0.95,$E$87&gt;1.05),'R4UD_Ref'!$E$69=2)</xm:f>
            <x14:dxf>
              <fill>
                <patternFill>
                  <bgColor rgb="FFFF0000"/>
                </patternFill>
              </fill>
            </x14:dxf>
          </x14:cfRule>
          <xm:sqref>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3:BT102"/>
  <sheetViews>
    <sheetView showGridLines="0" workbookViewId="0"/>
  </sheetViews>
  <sheetFormatPr defaultRowHeight="15" x14ac:dyDescent="0.25"/>
  <cols>
    <col min="2" max="2" width="23" customWidth="1"/>
    <col min="3" max="3" width="30.85546875" customWidth="1"/>
    <col min="5" max="5" width="13.42578125" customWidth="1"/>
    <col min="8" max="8" width="17" customWidth="1"/>
    <col min="10" max="10" width="22.7109375" customWidth="1"/>
    <col min="11" max="11" width="28.5703125" customWidth="1"/>
    <col min="12" max="12" width="19.7109375" customWidth="1"/>
    <col min="14" max="14" width="20.85546875" customWidth="1"/>
    <col min="15" max="15" width="11.28515625" customWidth="1"/>
    <col min="17" max="17" width="20.140625" customWidth="1"/>
    <col min="18" max="18" width="11.7109375" customWidth="1"/>
    <col min="20" max="20" width="20.42578125" customWidth="1"/>
    <col min="21" max="21" width="10" customWidth="1"/>
    <col min="23" max="23" width="20.28515625" customWidth="1"/>
    <col min="24" max="24" width="11.140625" customWidth="1"/>
    <col min="26" max="26" width="20.28515625" customWidth="1"/>
    <col min="27" max="27" width="9.85546875" customWidth="1"/>
    <col min="29" max="29" width="20.140625" customWidth="1"/>
    <col min="30" max="30" width="10.42578125" customWidth="1"/>
    <col min="32" max="32" width="20.140625" customWidth="1"/>
    <col min="33" max="33" width="11.7109375" customWidth="1"/>
    <col min="35" max="35" width="20.28515625" customWidth="1"/>
    <col min="36" max="36" width="10.7109375" customWidth="1"/>
    <col min="38" max="38" width="20.28515625" customWidth="1"/>
    <col min="39" max="39" width="12.5703125" customWidth="1"/>
    <col min="41" max="41" width="19.85546875" customWidth="1"/>
    <col min="42" max="42" width="11" customWidth="1"/>
    <col min="44" max="44" width="20" customWidth="1"/>
    <col min="45" max="45" width="10.85546875" customWidth="1"/>
    <col min="47" max="47" width="20.42578125" customWidth="1"/>
    <col min="48" max="48" width="10.28515625" customWidth="1"/>
    <col min="50" max="50" width="20" customWidth="1"/>
    <col min="51" max="51" width="11.140625" customWidth="1"/>
    <col min="53" max="53" width="20.140625" customWidth="1"/>
    <col min="54" max="54" width="10.85546875" customWidth="1"/>
    <col min="56" max="56" width="19.85546875" customWidth="1"/>
    <col min="57" max="57" width="11.28515625" customWidth="1"/>
    <col min="59" max="59" width="20" customWidth="1"/>
    <col min="60" max="60" width="11.7109375" customWidth="1"/>
    <col min="62" max="62" width="19.85546875" customWidth="1"/>
    <col min="63" max="63" width="11" customWidth="1"/>
    <col min="65" max="65" width="20.140625" customWidth="1"/>
    <col min="66" max="66" width="11.5703125" customWidth="1"/>
    <col min="68" max="68" width="20.140625" customWidth="1"/>
    <col min="69" max="69" width="11" customWidth="1"/>
    <col min="71" max="71" width="20.140625" customWidth="1"/>
    <col min="72" max="72" width="11.7109375" customWidth="1"/>
  </cols>
  <sheetData>
    <row r="3" spans="2:18" x14ac:dyDescent="0.25">
      <c r="B3" s="565" t="s">
        <v>102</v>
      </c>
      <c r="C3" s="565"/>
      <c r="D3" s="286" t="s">
        <v>95</v>
      </c>
      <c r="E3" s="286" t="s">
        <v>96</v>
      </c>
      <c r="F3" s="286" t="s">
        <v>97</v>
      </c>
      <c r="G3" s="286" t="s">
        <v>273</v>
      </c>
      <c r="H3" s="286" t="s">
        <v>98</v>
      </c>
      <c r="J3" s="565" t="s">
        <v>104</v>
      </c>
      <c r="K3" s="565"/>
      <c r="L3" s="286" t="s">
        <v>105</v>
      </c>
      <c r="N3" s="565" t="s">
        <v>113</v>
      </c>
      <c r="O3" s="565"/>
      <c r="P3" s="565"/>
      <c r="Q3" s="565"/>
      <c r="R3" s="565"/>
    </row>
    <row r="4" spans="2:18" x14ac:dyDescent="0.25">
      <c r="B4" s="694" t="s">
        <v>81</v>
      </c>
      <c r="C4" s="14" t="s">
        <v>82</v>
      </c>
      <c r="D4" s="70">
        <f>'R4UD_Ref'!E87*4</f>
        <v>48</v>
      </c>
      <c r="E4" s="101">
        <f>D4*'R4UD_Project'!C5*5280/9</f>
        <v>56320</v>
      </c>
      <c r="F4" s="292" t="s">
        <v>235</v>
      </c>
      <c r="G4" s="229">
        <f>'R4UD_Setup'!F25</f>
        <v>2</v>
      </c>
      <c r="H4" s="229">
        <f t="shared" ref="H4:H27" si="0">E4*G4</f>
        <v>112640</v>
      </c>
      <c r="J4" s="695" t="s">
        <v>103</v>
      </c>
      <c r="K4" s="14" t="s">
        <v>106</v>
      </c>
      <c r="L4" s="72">
        <f>IF('R4UD_Ref'!D124=1,IF('R4UD_Ref'!E67=1,EXP(-9.653+1.176*LN('R4UD_Project'!C6)+LN('R4UD_Project'!C5)),IF('R4UD_Ref'!E67=2,'R4UD_Setup'!I70,"Non Selected")),IF('R4UD_Ref'!G67=1,EXP(-9.025+1.049*LN('R4UD_Project'!C6)+LN('R4UD_Project'!C5)),IF('R4UD_Ref'!G67=2,'R4UD_Setup'!I78,"Non Selected")))</f>
        <v>14.682385975089051</v>
      </c>
      <c r="N4" s="691" t="s">
        <v>129</v>
      </c>
      <c r="O4" s="691"/>
      <c r="Q4" s="691" t="s">
        <v>130</v>
      </c>
      <c r="R4" s="691"/>
    </row>
    <row r="5" spans="2:18" x14ac:dyDescent="0.25">
      <c r="B5" s="694"/>
      <c r="C5" s="14" t="s">
        <v>83</v>
      </c>
      <c r="D5" s="70">
        <f>'R4UD_Ref'!E87*4</f>
        <v>48</v>
      </c>
      <c r="E5" s="101">
        <f>IF('R4UD_Ref'!C14=2,'R4UD_Setup'!F12*'R4UD_Calculations'!D5*'R4UD_Project'!C5*115*5280*(1/9)*(1/2000),'R4UD_Calculations'!D5*'R4UD_Project'!C5*5280/9)</f>
        <v>6476.8</v>
      </c>
      <c r="F5" s="292" t="str">
        <f>IF('R4UD_Ref'!$C$14=1,"sq yd","cu yd")</f>
        <v>cu yd</v>
      </c>
      <c r="G5" s="229">
        <f>IF('R4UD_Ref'!$C$14=1,'R4UD_Setup'!$F$29,'R4UD_Setup'!$F$27)</f>
        <v>55</v>
      </c>
      <c r="H5" s="229">
        <f t="shared" si="0"/>
        <v>356224</v>
      </c>
      <c r="J5" s="695"/>
      <c r="K5" s="14" t="s">
        <v>234</v>
      </c>
      <c r="L5" s="73">
        <f>'R4UD_Project'!C5</f>
        <v>2</v>
      </c>
      <c r="N5" s="13" t="s">
        <v>114</v>
      </c>
      <c r="O5" s="372">
        <f>'R4UD_Ref'!E87</f>
        <v>12</v>
      </c>
      <c r="Q5" s="13" t="s">
        <v>114</v>
      </c>
      <c r="R5" s="372">
        <f>'R4UD_Ref'!N7</f>
        <v>12</v>
      </c>
    </row>
    <row r="6" spans="2:18" x14ac:dyDescent="0.25">
      <c r="B6" s="694"/>
      <c r="C6" s="14" t="s">
        <v>84</v>
      </c>
      <c r="D6" s="70">
        <f>'R4UD_Ref'!N7*4-'R4UD_Ref'!E87*4</f>
        <v>0</v>
      </c>
      <c r="E6" s="101">
        <f>IF('R4UD_Ref'!C14=2,'R4UD_Setup'!F15*'R4UD_Calculations'!D6*'R4UD_Project'!C5*115*5280*(1/9)*(1/2000),'R4UD_Calculations'!D6*'R4UD_Project'!C5*5280/9)</f>
        <v>0</v>
      </c>
      <c r="F6" s="292" t="str">
        <f>IF('R4UD_Ref'!$C$14=1,"sq yd","cu yd")</f>
        <v>cu yd</v>
      </c>
      <c r="G6" s="229">
        <f>IF('R4UD_Ref'!$C$14=1,'R4UD_Setup'!$F$29,'R4UD_Setup'!$F$27)</f>
        <v>55</v>
      </c>
      <c r="H6" s="229">
        <f t="shared" si="0"/>
        <v>0</v>
      </c>
      <c r="J6" s="695"/>
      <c r="K6" s="14" t="s">
        <v>60</v>
      </c>
      <c r="L6" s="74">
        <f>'R4UD_Project'!C6</f>
        <v>20000</v>
      </c>
      <c r="N6" s="13" t="s">
        <v>115</v>
      </c>
      <c r="O6" s="79" t="str">
        <f>IF('R4UD_Project'!$C$6&lt;400,"Below 400",IF('R4UD_Project'!$C$6&gt;2000,"Above 2000","400 to 2000"))</f>
        <v>Above 2000</v>
      </c>
      <c r="Q6" s="13" t="s">
        <v>115</v>
      </c>
      <c r="R6" s="79" t="str">
        <f>IF('R4UD_Project'!$C$6&lt;400,"Below 400",IF('R4UD_Project'!$C$6&gt;2000,"Above 2000","400 to 2000"))</f>
        <v>Above 2000</v>
      </c>
    </row>
    <row r="7" spans="2:18" x14ac:dyDescent="0.25">
      <c r="B7" s="694"/>
      <c r="C7" s="14" t="s">
        <v>85</v>
      </c>
      <c r="D7" s="70">
        <f>D6</f>
        <v>0</v>
      </c>
      <c r="E7" s="101">
        <f>'R4UD_Setup'!F9*'R4UD_Calculations'!D7*'R4UD_Project'!C5*5280*(1/12)*(1/27)</f>
        <v>0</v>
      </c>
      <c r="F7" s="292" t="s">
        <v>236</v>
      </c>
      <c r="G7" s="229">
        <f>'R4UD_Setup'!F23</f>
        <v>10</v>
      </c>
      <c r="H7" s="229">
        <f t="shared" si="0"/>
        <v>0</v>
      </c>
      <c r="J7" s="694" t="s">
        <v>274</v>
      </c>
      <c r="K7" s="14" t="s">
        <v>59</v>
      </c>
      <c r="L7" s="110">
        <f>O9</f>
        <v>1</v>
      </c>
      <c r="N7" s="13" t="s">
        <v>116</v>
      </c>
      <c r="O7" s="80">
        <f>VLOOKUP(O5,'R4UD_Ref'!$A$129:$D$135,VLOOKUP('R4UD_Calculations'!O6,'R4UD_Ref'!$A$137:$B$139,2))</f>
        <v>1</v>
      </c>
      <c r="Q7" s="13" t="s">
        <v>116</v>
      </c>
      <c r="R7" s="80">
        <f>VLOOKUP(R5,'R4UD_Ref'!$A$129:$D$135,VLOOKUP('R4UD_Calculations'!R6,'R4UD_Ref'!$A$137:$B$139,2))</f>
        <v>1</v>
      </c>
    </row>
    <row r="8" spans="2:18" x14ac:dyDescent="0.25">
      <c r="B8" s="694"/>
      <c r="C8" s="14" t="s">
        <v>86</v>
      </c>
      <c r="D8" s="70">
        <f>IF(D6=0,IF('R4UD_Ref'!N8-'R4UD_Ref'!E97=0,0,(4*'R4UD_Ref'!E87+2*'R4UD_Ref'!E97-4*'R4UD_Ref'!N7)),(4*'R4UD_Ref'!E87+2*'R4UD_Ref'!E97-4*'R4UD_Ref'!N7))</f>
        <v>0</v>
      </c>
      <c r="E8" s="101">
        <f>IF('R4UD_Ref'!N7&gt;'R4UD_Ref'!E87,0,'R4UD_Calculations'!D8*'R4UD_Project'!C5*5280/9)</f>
        <v>0</v>
      </c>
      <c r="F8" s="292" t="s">
        <v>235</v>
      </c>
      <c r="G8" s="229">
        <f>'R4UD_Setup'!F25</f>
        <v>2</v>
      </c>
      <c r="H8" s="229">
        <f t="shared" si="0"/>
        <v>0</v>
      </c>
      <c r="J8" s="694"/>
      <c r="K8" s="14" t="s">
        <v>107</v>
      </c>
      <c r="L8" s="110">
        <f>O19</f>
        <v>1.0696530346965303</v>
      </c>
      <c r="N8" s="13" t="s">
        <v>117</v>
      </c>
      <c r="O8" s="80">
        <f>$L$28+$L$31+$L$33</f>
        <v>0.23217678232176781</v>
      </c>
      <c r="Q8" s="13" t="s">
        <v>117</v>
      </c>
      <c r="R8" s="80">
        <f>$L$28+$L$31+$L$33</f>
        <v>0.23217678232176781</v>
      </c>
    </row>
    <row r="9" spans="2:18" x14ac:dyDescent="0.25">
      <c r="B9" s="694"/>
      <c r="C9" s="14" t="s">
        <v>87</v>
      </c>
      <c r="D9" s="70">
        <f>IF(D8=0,0,IF(D6&gt;0,0,'R4UD_Ref'!E97*2))</f>
        <v>0</v>
      </c>
      <c r="E9" s="101">
        <f>IF('R4UD_Ref'!C14=2,'R4UD_Setup'!F13*'R4UD_Calculations'!D9*'R4UD_Project'!C5*115*5280*(1/9)*(1/2000),'R4UD_Project'!C5*'R4UD_Calculations'!D9*5280*(1/9))</f>
        <v>0</v>
      </c>
      <c r="F9" s="292" t="str">
        <f>IF('R4UD_Ref'!$C$14=1,"sq yd","cu yd")</f>
        <v>cu yd</v>
      </c>
      <c r="G9" s="229">
        <f>IF('R4UD_Ref'!$C$14=1,'R4UD_Setup'!$F$29,'R4UD_Setup'!$F$27)</f>
        <v>55</v>
      </c>
      <c r="H9" s="229">
        <f t="shared" si="0"/>
        <v>0</v>
      </c>
      <c r="J9" s="694"/>
      <c r="K9" s="14" t="s">
        <v>108</v>
      </c>
      <c r="L9" s="110">
        <f>IF('R4UD_Ref'!$C$7=1,'R4UD_Calculations'!O23/'R4UD_Project'!C5*'R4UD_Calculations'!O26+(1-'R4UD_Calculations'!O23/'R4UD_Project'!C5),('R4UD_Calculations'!O23*'R4UD_Calculations'!O26+'R4UD_Calculations'!U23*'R4UD_Calculations'!U26+'R4UD_Calculations'!AA23*'R4UD_Calculations'!AA26+'R4UD_Calculations'!AG23*'R4UD_Calculations'!AG26+'R4UD_Calculations'!AM23*'R4UD_Calculations'!AM26+'R4UD_Calculations'!AS23*'R4UD_Calculations'!AS26+'R4UD_Calculations'!AY23*'R4UD_Calculations'!AY26+'R4UD_Calculations'!BE23*'R4UD_Calculations'!BE26+'R4UD_Calculations'!BK23*'R4UD_Calculations'!BK26+'R4UD_Calculations'!BQ23*'R4UD_Calculations'!BQ26)/'R4UD_Project'!C5+(1-('R4UD_Calculations'!O23+U23+AA23+AG23+AM23+AS23+AY23+BE23+BK23+BQ23)/'R4UD_Project'!C5))</f>
        <v>1</v>
      </c>
      <c r="N9" s="18" t="s">
        <v>118</v>
      </c>
      <c r="O9" s="81">
        <f>(O7-1)*O8+1</f>
        <v>1</v>
      </c>
      <c r="Q9" s="18" t="s">
        <v>118</v>
      </c>
      <c r="R9" s="81">
        <f>(R7-1)*R8+1</f>
        <v>1</v>
      </c>
    </row>
    <row r="10" spans="2:18" x14ac:dyDescent="0.25">
      <c r="B10" s="694"/>
      <c r="C10" s="14" t="s">
        <v>36</v>
      </c>
      <c r="D10" s="70">
        <f>IF(D6&gt;0,IF('R4UD_Project'!F32="Paved Shoulder",'R4UD_Ref'!N8*2,0),IF('R4UD_Ref'!G92="Paved",('R4UD_Ref'!N8-'R4UD_Ref'!E97)*2,IF('R4UD_Project'!F32="Unpaved Shoulder",0,2*'R4UD_Ref'!N8)))</f>
        <v>0</v>
      </c>
      <c r="E10" s="101">
        <f>IF('R4UD_Ref'!C14=2,'R4UD_Setup'!F16*'R4UD_Calculations'!D10*'R4UD_Project'!C5*115*5280*(1/2000)*(1/9),'R4UD_Calculations'!D10*'R4UD_Project'!C5*5280/9)</f>
        <v>0</v>
      </c>
      <c r="F10" s="292" t="str">
        <f>IF('R4UD_Ref'!$C$14=1,"sq yd","cu yd")</f>
        <v>cu yd</v>
      </c>
      <c r="G10" s="229">
        <f>IF('R4UD_Ref'!$C$14=1,'R4UD_Setup'!$F$29,'R4UD_Setup'!$F$27)</f>
        <v>55</v>
      </c>
      <c r="H10" s="229">
        <f t="shared" si="0"/>
        <v>0</v>
      </c>
      <c r="J10" s="694"/>
      <c r="K10" s="14" t="s">
        <v>109</v>
      </c>
      <c r="L10" s="110">
        <f>IF('R4UD_Ref'!$C$7=1,1,('R4UD_Calculations'!O23*'R4UD_Calculations'!O36+'R4UD_Calculations'!U23*'R4UD_Calculations'!U36+'R4UD_Calculations'!AA23*'R4UD_Calculations'!AA36+'R4UD_Calculations'!AG23*'R4UD_Calculations'!AG36+'R4UD_Calculations'!AM23*'R4UD_Calculations'!AM36+'R4UD_Calculations'!AS23*'R4UD_Calculations'!AS36+'R4UD_Calculations'!AY23*'R4UD_Calculations'!AY36+'R4UD_Calculations'!BE23*'R4UD_Calculations'!BE36+'R4UD_Calculations'!BK23*'R4UD_Calculations'!BK36+'R4UD_Calculations'!BQ23*'R4UD_Calculations'!BQ36)/'R4UD_Project'!$C$5+(1-('R4UD_Calculations'!O23+'R4UD_Calculations'!U23+'R4UD_Calculations'!AA23+'R4UD_Calculations'!AG23+'R4UD_Calculations'!AM23+'R4UD_Calculations'!AS23+'R4UD_Calculations'!AY23+'R4UD_Calculations'!BE23+'R4UD_Calculations'!BK23+'R4UD_Calculations'!BQ23)/'R4UD_Project'!$C$5))</f>
        <v>1.0012239999999999</v>
      </c>
      <c r="N10" s="6"/>
      <c r="O10" s="7"/>
      <c r="Q10" s="6"/>
      <c r="R10" s="7"/>
    </row>
    <row r="11" spans="2:18" x14ac:dyDescent="0.25">
      <c r="B11" s="694"/>
      <c r="C11" s="14" t="s">
        <v>88</v>
      </c>
      <c r="D11" s="70">
        <f>D10</f>
        <v>0</v>
      </c>
      <c r="E11" s="101">
        <f>'R4UD_Setup'!F10*'R4UD_Calculations'!D11*'R4UD_Project'!C5*5280*(1/12)*(1/27)</f>
        <v>0</v>
      </c>
      <c r="F11" s="292" t="s">
        <v>236</v>
      </c>
      <c r="G11" s="229">
        <f>'R4UD_Setup'!F23</f>
        <v>10</v>
      </c>
      <c r="H11" s="229">
        <f t="shared" si="0"/>
        <v>0</v>
      </c>
      <c r="J11" s="694"/>
      <c r="K11" s="14" t="s">
        <v>175</v>
      </c>
      <c r="L11" s="110">
        <f>O41</f>
        <v>1.18</v>
      </c>
      <c r="N11" s="565" t="s">
        <v>119</v>
      </c>
      <c r="O11" s="565"/>
      <c r="P11" s="565"/>
      <c r="Q11" s="565"/>
      <c r="R11" s="565"/>
    </row>
    <row r="12" spans="2:18" x14ac:dyDescent="0.25">
      <c r="B12" s="694"/>
      <c r="C12" s="14" t="s">
        <v>89</v>
      </c>
      <c r="D12" s="100"/>
      <c r="E12" s="101">
        <f>IF('R4UD_Project'!F32="Paved Shoulder",0,IF('R4UD_Ref'!N7-'R4UD_Ref'!E87=0,('R4UD_Ref'!N8-'R4UD_Ref'!E97)*2*'R4UD_Project'!C5*5280/9,'R4UD_Ref'!N8*2*'R4UD_Project'!C5*5280/9))</f>
        <v>0</v>
      </c>
      <c r="F12" s="292" t="s">
        <v>235</v>
      </c>
      <c r="G12" s="229">
        <f>'R4UD_Setup'!F31</f>
        <v>1</v>
      </c>
      <c r="H12" s="229">
        <f t="shared" si="0"/>
        <v>0</v>
      </c>
      <c r="J12" s="694"/>
      <c r="K12" s="14" t="s">
        <v>73</v>
      </c>
      <c r="L12" s="110">
        <f>O46</f>
        <v>1</v>
      </c>
      <c r="N12" s="691" t="s">
        <v>129</v>
      </c>
      <c r="O12" s="691"/>
      <c r="Q12" s="691" t="s">
        <v>130</v>
      </c>
      <c r="R12" s="691"/>
    </row>
    <row r="13" spans="2:18" x14ac:dyDescent="0.25">
      <c r="B13" s="287" t="s">
        <v>90</v>
      </c>
      <c r="C13" s="14" t="s">
        <v>91</v>
      </c>
      <c r="D13" s="100"/>
      <c r="E13" s="102">
        <f>IF(AND(MID('R4UD_Ref'!E108,4,1)=MID('R4UD_Ref'!N10,4,1),'R4UD_Calculations'!D6+2*('R4UD_Ref'!N8-'R4UD_Ref'!E97)=0),0,(('R4UD_Calculations'!D6+2*('R4UD_Ref'!N8-'R4UD_Ref'!E97))*'R4UD_Ref'!D11+MID('R4UD_Ref'!N10,4,1)*('R4UD_Ref'!D11)^2)*'R4UD_Project'!C5*5280/27)</f>
        <v>0</v>
      </c>
      <c r="F13" s="292" t="s">
        <v>236</v>
      </c>
      <c r="G13" s="229">
        <f>'R4UD_Setup'!F33</f>
        <v>8</v>
      </c>
      <c r="H13" s="229">
        <f t="shared" si="0"/>
        <v>0</v>
      </c>
      <c r="J13" s="694"/>
      <c r="K13" s="14" t="s">
        <v>74</v>
      </c>
      <c r="L13" s="110">
        <f>O52</f>
        <v>1</v>
      </c>
      <c r="N13" s="13" t="s">
        <v>120</v>
      </c>
      <c r="O13" s="78">
        <f>IF('R4UD_Ref'!D124=1,'R4UD_Ref'!E97,IF('R4UD_Ref'!G92="Paved",'R4UD_Ref'!E97,0))</f>
        <v>2</v>
      </c>
      <c r="Q13" s="13" t="s">
        <v>120</v>
      </c>
      <c r="R13" s="78">
        <f>IF('R4UD_Ref'!D124=1,'R4UD_Ref'!N8,IF('R4UD_Project'!F32="Paved Shoulder",'R4UD_Ref'!N8,0))</f>
        <v>2</v>
      </c>
    </row>
    <row r="14" spans="2:18" x14ac:dyDescent="0.25">
      <c r="B14" s="695" t="s">
        <v>228</v>
      </c>
      <c r="C14" s="14" t="s">
        <v>93</v>
      </c>
      <c r="D14" s="67"/>
      <c r="E14" s="101">
        <f>IF('R4UD_Ref'!D124=1,'R4UD_Ref'!N11*'R4UD_Project'!C5*5280,0)</f>
        <v>0</v>
      </c>
      <c r="F14" s="69" t="s">
        <v>256</v>
      </c>
      <c r="G14" s="229">
        <f>'R4UD_Setup'!F37</f>
        <v>0.5</v>
      </c>
      <c r="H14" s="229">
        <f t="shared" si="0"/>
        <v>0</v>
      </c>
      <c r="J14" s="694"/>
      <c r="K14" s="14" t="s">
        <v>38</v>
      </c>
      <c r="L14" s="114"/>
      <c r="N14" s="13" t="s">
        <v>115</v>
      </c>
      <c r="O14" s="79" t="str">
        <f>IF('R4UD_Project'!$C$6&lt;400,"Below 400",IF('R4UD_Project'!$C$6&gt;2000,"Above 2000","400 to 2000"))</f>
        <v>Above 2000</v>
      </c>
      <c r="Q14" s="13" t="s">
        <v>115</v>
      </c>
      <c r="R14" s="79" t="str">
        <f>IF('R4UD_Project'!$C$6&lt;400,"Below 400",IF('R4UD_Project'!$C$6&gt;2000,"Above 2000","400 to 2000"))</f>
        <v>Above 2000</v>
      </c>
    </row>
    <row r="15" spans="2:18" x14ac:dyDescent="0.25">
      <c r="B15" s="695"/>
      <c r="C15" s="14" t="s">
        <v>11</v>
      </c>
      <c r="D15" s="67"/>
      <c r="E15" s="101">
        <f>'R4UD_Ref'!N12*'R4UD_Project'!C5*5280*IF('R4UD_Ref'!D124=1,2,4)</f>
        <v>0</v>
      </c>
      <c r="F15" s="69" t="s">
        <v>256</v>
      </c>
      <c r="G15" s="229">
        <f>'R4UD_Setup'!F39</f>
        <v>0.4</v>
      </c>
      <c r="H15" s="229">
        <f t="shared" si="0"/>
        <v>0</v>
      </c>
      <c r="J15" s="695" t="s">
        <v>110</v>
      </c>
      <c r="K15" s="14" t="s">
        <v>59</v>
      </c>
      <c r="L15" s="110">
        <f>R9</f>
        <v>1</v>
      </c>
      <c r="N15" s="13" t="s">
        <v>121</v>
      </c>
      <c r="O15" s="1" t="str">
        <f>'R4UD_Ref'!G92</f>
        <v>Paved</v>
      </c>
      <c r="Q15" s="13" t="s">
        <v>121</v>
      </c>
      <c r="R15" s="1" t="str">
        <f>'R4UD_Ref'!I92</f>
        <v>Paved</v>
      </c>
    </row>
    <row r="16" spans="2:18" x14ac:dyDescent="0.25">
      <c r="B16" s="287" t="s">
        <v>229</v>
      </c>
      <c r="C16" s="14" t="s">
        <v>269</v>
      </c>
      <c r="D16" s="107">
        <v>4</v>
      </c>
      <c r="E16" s="101">
        <f>'R4UD_Ref'!N13*'R4UD_Project'!C5*(2*0.25+4*1)*5280</f>
        <v>0</v>
      </c>
      <c r="F16" s="69" t="s">
        <v>256</v>
      </c>
      <c r="G16" s="229">
        <f>'R4UD_Setup'!F41</f>
        <v>4</v>
      </c>
      <c r="H16" s="229">
        <f t="shared" si="0"/>
        <v>0</v>
      </c>
      <c r="J16" s="695"/>
      <c r="K16" s="14" t="s">
        <v>107</v>
      </c>
      <c r="L16" s="110">
        <f>R19</f>
        <v>1.0696530346965303</v>
      </c>
      <c r="N16" s="13" t="s">
        <v>123</v>
      </c>
      <c r="O16" s="80">
        <f>IF('R4UD_Ref'!D124=1,VLOOKUP(O13,'R4UD_Ref'!$A$141:$D$149,VLOOKUP('R4UD_Calculations'!O14,'R4UD_Ref'!$A$152:$B$154,2)),"N/A")</f>
        <v>1.3</v>
      </c>
      <c r="Q16" s="13" t="s">
        <v>123</v>
      </c>
      <c r="R16" s="80">
        <f>IF('R4UD_Ref'!D124=1,VLOOKUP(R13,'R4UD_Ref'!$A$141:$D$149,VLOOKUP('R4UD_Calculations'!R14,'R4UD_Ref'!$A$152:$B$154,2)),"N/A")</f>
        <v>1.3</v>
      </c>
    </row>
    <row r="17" spans="2:72" ht="15" customHeight="1" x14ac:dyDescent="0.25">
      <c r="B17" s="291" t="s">
        <v>267</v>
      </c>
      <c r="C17" s="14" t="s">
        <v>94</v>
      </c>
      <c r="D17" s="100"/>
      <c r="E17" s="108">
        <f>'R4UD_Ref'!N13*ROUNDUP('R4UD_Project'!L36*5280/'R4UD_Setup'!F18,0)</f>
        <v>0</v>
      </c>
      <c r="F17" s="292" t="s">
        <v>268</v>
      </c>
      <c r="G17" s="229">
        <f>'R4UD_Setup'!F43</f>
        <v>60</v>
      </c>
      <c r="H17" s="229">
        <f t="shared" si="0"/>
        <v>0</v>
      </c>
      <c r="J17" s="695"/>
      <c r="K17" s="14" t="s">
        <v>108</v>
      </c>
      <c r="L17" s="110">
        <f>IF('R4UD_Ref'!$C$7=1,'R4UD_Calculations'!R23/'R4UD_Project'!C5*'R4UD_Calculations'!R26+(1-'R4UD_Calculations'!R23/'R4UD_Project'!C5),(R23*R26+X23*X26+AD23*AD26+AJ23*AJ26+AP23*AP26+AV23*AV26+BB23*BB26+BH23*BH26+BN23*BN26+BT23*BT26)/'R4UD_Project'!C5+(1-('R4UD_Calculations'!R23+X23+AD23+AJ23+AP23+AV23+BB23+BH23+BN23+BT23)/'R4UD_Project'!C5))</f>
        <v>1</v>
      </c>
      <c r="N17" s="13" t="s">
        <v>122</v>
      </c>
      <c r="O17" s="1">
        <f>IF('R4UD_Ref'!D124=1,VLOOKUP('R4UD_Ref'!A162,'R4UD_Ref'!$A$158:$J$161,VLOOKUP('R4UD_Calculations'!$O$13,'R4UD_Ref'!$A$164:$B$172,2)),"N/A")</f>
        <v>1</v>
      </c>
      <c r="Q17" s="13" t="s">
        <v>122</v>
      </c>
      <c r="R17" s="1">
        <f>IF('R4UD_Ref'!D124=1,VLOOKUP('R4UD_Ref'!B162,'R4UD_Ref'!$A$158:$J$161,VLOOKUP(R13,'R4UD_Ref'!$A$164:$B$172,2)),"N/A")</f>
        <v>1</v>
      </c>
    </row>
    <row r="18" spans="2:72" ht="15" customHeight="1" x14ac:dyDescent="0.25">
      <c r="B18" s="694" t="s">
        <v>230</v>
      </c>
      <c r="C18" s="21" t="s">
        <v>301</v>
      </c>
      <c r="D18" s="70">
        <f>IF(AND('R4UD_Ref'!G7=TRUE,'R4UD_Ref'!$C$7=2),2*(2*'R4UD_Ref'!$N$7+IF('R4UD_Project'!$F$32="Paved Shoulder",'R4UD_Ref'!$N$8,0)),0)</f>
        <v>0</v>
      </c>
      <c r="E18" s="101">
        <f>IF('R4UD_Project'!$M$15&gt;=1,IF('R4UD_Ref'!$C$14=2,('R4UD_Project'!P20-'R4UD_Project'!N20)*'R4UD_Calculations'!D18*0.5*'R4UD_Calculations'!D18*115*(1/9)*(1/2000)*('R4UD_Project'!J20*5280+2*'R4UD_Project'!K20*5280),D18*('R2U_Project'!J20*5280+2*'R2U_Project'!K20*5280)/9),0)</f>
        <v>0</v>
      </c>
      <c r="F18" s="292" t="str">
        <f>IF('R4UD_Ref'!$C$14=1,"sq yd","cu yd")</f>
        <v>cu yd</v>
      </c>
      <c r="G18" s="229">
        <f>IF('R4UD_Ref'!$C$14=1,'R4UD_Setup'!$F$29,'R4UD_Setup'!$F$27)</f>
        <v>55</v>
      </c>
      <c r="H18" s="229">
        <f t="shared" si="0"/>
        <v>0</v>
      </c>
      <c r="J18" s="695"/>
      <c r="K18" s="14" t="s">
        <v>109</v>
      </c>
      <c r="L18" s="110">
        <f>IF('R4UD_Ref'!$C$7=1,1,('R4UD_Calculations'!R23*'R4UD_Calculations'!R36+'R4UD_Calculations'!X23*'R4UD_Calculations'!X36+'R4UD_Calculations'!AD23*'R4UD_Calculations'!AD36+'R4UD_Calculations'!AJ23*'R4UD_Calculations'!AJ36+'R4UD_Calculations'!AP23*'R4UD_Calculations'!AP36+'R4UD_Calculations'!AV23*'R4UD_Calculations'!AV36+'R4UD_Calculations'!BB23*'R4UD_Calculations'!BB36+'R4UD_Calculations'!BH23*'R4UD_Calculations'!BH36+'R4UD_Calculations'!BN23*'R4UD_Calculations'!BN36+'R4UD_Calculations'!BT23*'R4UD_Calculations'!BT36)/'R4UD_Project'!C5+(1-('R4UD_Calculations'!R23+'R4UD_Calculations'!X23+'R4UD_Calculations'!AD23+'R4UD_Calculations'!AJ23+'R4UD_Calculations'!AP23+'R4UD_Calculations'!AV23+'R4UD_Calculations'!BB23+'R4UD_Calculations'!BH23+'R4UD_Calculations'!BN23+'R4UD_Calculations'!BT23)/'R4UD_Project'!C5))</f>
        <v>1.0012239999999999</v>
      </c>
      <c r="N18" s="13" t="s">
        <v>117</v>
      </c>
      <c r="O18" s="80">
        <f>IF('R4UD_Ref'!D124=1,$L$28+$L$31+$L$33,"N/A")</f>
        <v>0.23217678232176781</v>
      </c>
      <c r="Q18" s="13" t="s">
        <v>117</v>
      </c>
      <c r="R18" s="80">
        <f>IF('R4UD_Ref'!D124=1,$L$28+$L$31+$L$33,"N/A")</f>
        <v>0.23217678232176781</v>
      </c>
    </row>
    <row r="19" spans="2:72" x14ac:dyDescent="0.25">
      <c r="B19" s="694"/>
      <c r="C19" s="21" t="s">
        <v>302</v>
      </c>
      <c r="D19" s="70">
        <f>IF(AND('R4UD_Ref'!G8=TRUE,'R4UD_Ref'!$C$7=2),2*(2*'R4UD_Ref'!$N$7+IF('R4UD_Project'!$F$32="Paved Shoulder",'R4UD_Ref'!$N$8,0)),0)</f>
        <v>0</v>
      </c>
      <c r="E19" s="101">
        <f>IF('R4UD_Project'!$M$15&gt;=1,IF('R4UD_Ref'!$C$14=2,('R4UD_Project'!P21-'R4UD_Project'!N21)*'R4UD_Calculations'!D19*0.5*'R4UD_Calculations'!D19*115*(1/9)*(1/2000)*('R4UD_Project'!J21*5280+2*'R4UD_Project'!K21*5280),D19*('R2U_Project'!J21*5280+2*'R2U_Project'!K21*5280)/9),0)</f>
        <v>0</v>
      </c>
      <c r="F19" s="292" t="str">
        <f>IF('R4UD_Ref'!$C$14=1,"sq yd","cu yd")</f>
        <v>cu yd</v>
      </c>
      <c r="G19" s="229">
        <f>IF('R4UD_Ref'!$C$14=1,'R4UD_Setup'!$F$29,'R4UD_Setup'!$F$27)</f>
        <v>55</v>
      </c>
      <c r="H19" s="229">
        <f t="shared" si="0"/>
        <v>0</v>
      </c>
      <c r="J19" s="695"/>
      <c r="K19" s="14" t="s">
        <v>175</v>
      </c>
      <c r="L19" s="110">
        <f>R41</f>
        <v>1.18</v>
      </c>
      <c r="N19" s="18" t="s">
        <v>118</v>
      </c>
      <c r="O19" s="81">
        <f>IF('R4UD_Ref'!$D$124=1,(O16*O17-1)*O18+1,VLOOKUP(O13,'R4UD_Ref'!A141:E149,5))</f>
        <v>1.0696530346965303</v>
      </c>
      <c r="Q19" s="18" t="s">
        <v>118</v>
      </c>
      <c r="R19" s="81">
        <f>IF('R4UD_Ref'!$D$124=1,(R16*R17-1)*R18+1,VLOOKUP(R13,'R4UD_Ref'!A141:E149,5))</f>
        <v>1.0696530346965303</v>
      </c>
    </row>
    <row r="20" spans="2:72" x14ac:dyDescent="0.25">
      <c r="B20" s="694"/>
      <c r="C20" s="21" t="s">
        <v>303</v>
      </c>
      <c r="D20" s="70">
        <f>IF(AND('R4UD_Ref'!G9=TRUE,'R4UD_Ref'!$C$7=2),2*(2*'R4UD_Ref'!$N$7+IF('R4UD_Project'!$F$32="Paved Shoulder",'R4UD_Ref'!$N$8,0)),0)</f>
        <v>0</v>
      </c>
      <c r="E20" s="101">
        <f>IF('R4UD_Project'!$M$15&gt;=1,IF('R4UD_Ref'!$C$14=2,('R4UD_Project'!P22-'R4UD_Project'!N22)*'R4UD_Calculations'!D20*0.5*'R4UD_Calculations'!D20*115*(1/9)*(1/2000)*('R4UD_Project'!J22*5280+2*'R4UD_Project'!K22*5280),D20*('R2U_Project'!J22*5280+2*'R2U_Project'!K22*5280)/9),0)</f>
        <v>0</v>
      </c>
      <c r="F20" s="292" t="str">
        <f>IF('R4UD_Ref'!$C$14=1,"sq yd","cu yd")</f>
        <v>cu yd</v>
      </c>
      <c r="G20" s="229">
        <f>IF('R4UD_Ref'!$C$14=1,'R4UD_Setup'!$F$29,'R4UD_Setup'!$F$27)</f>
        <v>55</v>
      </c>
      <c r="H20" s="229">
        <f t="shared" si="0"/>
        <v>0</v>
      </c>
      <c r="J20" s="695"/>
      <c r="K20" s="14" t="s">
        <v>73</v>
      </c>
      <c r="L20" s="110">
        <f>R46</f>
        <v>1</v>
      </c>
      <c r="N20" s="6"/>
      <c r="O20" s="7"/>
      <c r="Q20" s="6"/>
      <c r="R20" s="7"/>
    </row>
    <row r="21" spans="2:72" x14ac:dyDescent="0.25">
      <c r="B21" s="694"/>
      <c r="C21" s="21" t="s">
        <v>304</v>
      </c>
      <c r="D21" s="70">
        <f>IF(AND('R4UD_Ref'!G10=TRUE,'R4UD_Ref'!$C$7=2),2*(2*'R4UD_Ref'!$N$7+IF('R4UD_Project'!$F$32="Paved Shoulder",'R4UD_Ref'!$N$8,0)),0)</f>
        <v>0</v>
      </c>
      <c r="E21" s="101">
        <f>IF('R4UD_Project'!$M$15&gt;=1,IF('R4UD_Ref'!$C$14=2,('R4UD_Project'!P23-'R4UD_Project'!N23)*'R4UD_Calculations'!D21*0.5*'R4UD_Calculations'!D21*115*(1/9)*(1/2000)*('R4UD_Project'!J23*5280+2*'R4UD_Project'!K23*5280),D21*('R2U_Project'!J23*5280+2*'R2U_Project'!K23*5280)/9),0)</f>
        <v>0</v>
      </c>
      <c r="F21" s="292" t="str">
        <f>IF('R4UD_Ref'!$C$14=1,"sq yd","cu yd")</f>
        <v>cu yd</v>
      </c>
      <c r="G21" s="229">
        <f>IF('R4UD_Ref'!$C$14=1,'R4UD_Setup'!$F$29,'R4UD_Setup'!$F$27)</f>
        <v>55</v>
      </c>
      <c r="H21" s="229">
        <f t="shared" si="0"/>
        <v>0</v>
      </c>
      <c r="J21" s="695"/>
      <c r="K21" s="14" t="s">
        <v>74</v>
      </c>
      <c r="L21" s="110">
        <f>R52</f>
        <v>1</v>
      </c>
      <c r="N21" s="565" t="str">
        <f>IF('R4UD_Ref'!C7=1,"HORIZONTAL CURVE CMF","HORIZONTAL CURVE 1 CMF")</f>
        <v>HORIZONTAL CURVE 1 CMF</v>
      </c>
      <c r="O21" s="565"/>
      <c r="P21" s="565"/>
      <c r="Q21" s="565"/>
      <c r="R21" s="565"/>
      <c r="T21" s="565" t="s">
        <v>124</v>
      </c>
      <c r="U21" s="565"/>
      <c r="V21" s="565"/>
      <c r="W21" s="565"/>
      <c r="X21" s="565"/>
      <c r="Z21" s="565" t="s">
        <v>162</v>
      </c>
      <c r="AA21" s="565"/>
      <c r="AB21" s="565"/>
      <c r="AC21" s="565"/>
      <c r="AD21" s="565"/>
      <c r="AF21" s="565" t="s">
        <v>164</v>
      </c>
      <c r="AG21" s="565"/>
      <c r="AH21" s="565"/>
      <c r="AI21" s="565"/>
      <c r="AJ21" s="565"/>
      <c r="AL21" s="565" t="s">
        <v>244</v>
      </c>
      <c r="AM21" s="565"/>
      <c r="AN21" s="565"/>
      <c r="AO21" s="565"/>
      <c r="AP21" s="565"/>
      <c r="AR21" s="565" t="s">
        <v>246</v>
      </c>
      <c r="AS21" s="565"/>
      <c r="AT21" s="565"/>
      <c r="AU21" s="565"/>
      <c r="AV21" s="565"/>
      <c r="AX21" s="565" t="s">
        <v>248</v>
      </c>
      <c r="AY21" s="565"/>
      <c r="AZ21" s="565"/>
      <c r="BA21" s="565"/>
      <c r="BB21" s="565"/>
      <c r="BD21" s="565" t="s">
        <v>250</v>
      </c>
      <c r="BE21" s="565"/>
      <c r="BF21" s="565"/>
      <c r="BG21" s="565"/>
      <c r="BH21" s="565"/>
      <c r="BJ21" s="565" t="s">
        <v>252</v>
      </c>
      <c r="BK21" s="565"/>
      <c r="BL21" s="565"/>
      <c r="BM21" s="565"/>
      <c r="BN21" s="565"/>
      <c r="BP21" s="565" t="s">
        <v>254</v>
      </c>
      <c r="BQ21" s="565"/>
      <c r="BR21" s="565"/>
      <c r="BS21" s="565"/>
      <c r="BT21" s="565"/>
    </row>
    <row r="22" spans="2:72" x14ac:dyDescent="0.25">
      <c r="B22" s="694"/>
      <c r="C22" s="21" t="s">
        <v>305</v>
      </c>
      <c r="D22" s="70">
        <f>IF(AND('R4UD_Ref'!G11=TRUE,'R4UD_Ref'!$C$7=2),2*(2*'R4UD_Ref'!$N$7+IF('R4UD_Project'!$F$32="Paved Shoulder",'R4UD_Ref'!$N$8,0)),0)</f>
        <v>0</v>
      </c>
      <c r="E22" s="101">
        <f>IF('R4UD_Project'!$M$15&gt;=1,IF('R4UD_Ref'!$C$14=2,('R4UD_Project'!P24-'R4UD_Project'!N24)*'R4UD_Calculations'!D22*0.5*'R4UD_Calculations'!D22*115*(1/9)*(1/2000)*('R4UD_Project'!J24*5280+2*'R4UD_Project'!K24*5280),D22*('R2U_Project'!J24*5280+2*'R2U_Project'!K24*5280)/9),0)</f>
        <v>0</v>
      </c>
      <c r="F22" s="292" t="str">
        <f>IF('R4UD_Ref'!$C$14=1,"sq yd","cu yd")</f>
        <v>cu yd</v>
      </c>
      <c r="G22" s="229">
        <f>IF('R4UD_Ref'!$C$14=1,'R4UD_Setup'!$F$29,'R4UD_Setup'!$F$27)</f>
        <v>55</v>
      </c>
      <c r="H22" s="229">
        <f t="shared" si="0"/>
        <v>0</v>
      </c>
      <c r="J22" s="695"/>
      <c r="K22" s="14" t="s">
        <v>38</v>
      </c>
      <c r="L22" s="126">
        <f>R57</f>
        <v>1</v>
      </c>
      <c r="N22" s="691" t="s">
        <v>129</v>
      </c>
      <c r="O22" s="691"/>
      <c r="Q22" s="691" t="s">
        <v>130</v>
      </c>
      <c r="R22" s="691"/>
      <c r="T22" s="691" t="s">
        <v>129</v>
      </c>
      <c r="U22" s="691"/>
      <c r="W22" s="691" t="s">
        <v>130</v>
      </c>
      <c r="X22" s="691"/>
      <c r="Z22" s="691" t="s">
        <v>129</v>
      </c>
      <c r="AA22" s="691"/>
      <c r="AC22" s="691" t="s">
        <v>130</v>
      </c>
      <c r="AD22" s="691"/>
      <c r="AF22" s="691" t="s">
        <v>129</v>
      </c>
      <c r="AG22" s="691"/>
      <c r="AI22" s="691" t="s">
        <v>130</v>
      </c>
      <c r="AJ22" s="691"/>
      <c r="AL22" s="691" t="s">
        <v>129</v>
      </c>
      <c r="AM22" s="691"/>
      <c r="AO22" s="691" t="s">
        <v>130</v>
      </c>
      <c r="AP22" s="691"/>
      <c r="AR22" s="691" t="s">
        <v>129</v>
      </c>
      <c r="AS22" s="691"/>
      <c r="AU22" s="691" t="s">
        <v>130</v>
      </c>
      <c r="AV22" s="691"/>
      <c r="AX22" s="691" t="s">
        <v>129</v>
      </c>
      <c r="AY22" s="691"/>
      <c r="BA22" s="691" t="s">
        <v>130</v>
      </c>
      <c r="BB22" s="691"/>
      <c r="BD22" s="691" t="s">
        <v>129</v>
      </c>
      <c r="BE22" s="691"/>
      <c r="BG22" s="691" t="s">
        <v>130</v>
      </c>
      <c r="BH22" s="691"/>
      <c r="BJ22" s="691" t="s">
        <v>129</v>
      </c>
      <c r="BK22" s="691"/>
      <c r="BM22" s="691" t="s">
        <v>130</v>
      </c>
      <c r="BN22" s="691"/>
      <c r="BP22" s="691" t="s">
        <v>129</v>
      </c>
      <c r="BQ22" s="691"/>
      <c r="BS22" s="691" t="s">
        <v>130</v>
      </c>
      <c r="BT22" s="691"/>
    </row>
    <row r="23" spans="2:72" x14ac:dyDescent="0.25">
      <c r="B23" s="694"/>
      <c r="C23" s="21" t="s">
        <v>306</v>
      </c>
      <c r="D23" s="70">
        <f>IF(AND('R4UD_Ref'!G12=TRUE,'R4UD_Ref'!$C$7=2),2*(2*'R4UD_Ref'!$N$7+IF('R4UD_Project'!$F$32="Paved Shoulder",'R4UD_Ref'!$N$8,0)),0)</f>
        <v>0</v>
      </c>
      <c r="E23" s="101">
        <f>IF('R4UD_Project'!$M$15&gt;=1,IF('R4UD_Ref'!$C$14=2,('R4UD_Project'!P25-'R4UD_Project'!N25)*'R4UD_Calculations'!D23*0.5*'R4UD_Calculations'!D23*115*(1/9)*(1/2000)*('R4UD_Project'!J25*5280+2*'R4UD_Project'!K25*5280),D23*('R2U_Project'!J25*5280+2*'R2U_Project'!K25*5280)/9),0)</f>
        <v>0</v>
      </c>
      <c r="F23" s="292" t="str">
        <f>IF('R4UD_Ref'!$C$14=1,"sq yd","cu yd")</f>
        <v>cu yd</v>
      </c>
      <c r="G23" s="229">
        <f>IF('R4UD_Ref'!$C$14=1,'R4UD_Setup'!$F$29,'R4UD_Setup'!$F$27)</f>
        <v>55</v>
      </c>
      <c r="H23" s="229">
        <f t="shared" si="0"/>
        <v>0</v>
      </c>
      <c r="J23" s="287" t="s">
        <v>47</v>
      </c>
      <c r="K23" s="1"/>
      <c r="L23" s="110">
        <f>IF('R4UD_Ref'!D124=1,'R4UD_Setup'!F71,'R4UD_Setup'!F72)</f>
        <v>1</v>
      </c>
      <c r="N23" s="13" t="s">
        <v>125</v>
      </c>
      <c r="O23" s="82">
        <f>IF('R4UD_Ref'!$C$7=1,'R4UD_Project'!$G$18*'R4UD_Project'!$C$5/'R4UD_Project'!$G$20,'R4UD_Project'!$J$20)</f>
        <v>0.10199999999999999</v>
      </c>
      <c r="Q23" s="13" t="s">
        <v>125</v>
      </c>
      <c r="R23" s="82">
        <f>IF('R4UD_Ref'!$C$7=1,'R4UD_Project'!$G$18*'R4UD_Project'!$C$5/'R4UD_Project'!$G$20,'R4UD_Project'!$J$20)</f>
        <v>0.10199999999999999</v>
      </c>
      <c r="T23" s="13" t="s">
        <v>125</v>
      </c>
      <c r="U23" s="82">
        <f>IF('R4UD_Project'!$M$15&gt;=2,'R4UD_Project'!$J$21,0)</f>
        <v>0</v>
      </c>
      <c r="W23" s="13" t="s">
        <v>125</v>
      </c>
      <c r="X23" s="82">
        <f>IF('R4UD_Project'!$M$15&gt;=2,'R4UD_Project'!$J$21,0)</f>
        <v>0</v>
      </c>
      <c r="Z23" s="13" t="s">
        <v>125</v>
      </c>
      <c r="AA23" s="82">
        <f>IF('R4UD_Project'!$M$15&gt;=3,'R4UD_Project'!$J$22,0)</f>
        <v>0</v>
      </c>
      <c r="AC23" s="13" t="s">
        <v>125</v>
      </c>
      <c r="AD23" s="82">
        <f>IF('R4UD_Project'!$M$15&gt;=3,'R4UD_Project'!$J$22,0)</f>
        <v>0</v>
      </c>
      <c r="AF23" s="13" t="s">
        <v>125</v>
      </c>
      <c r="AG23" s="82">
        <f>IF('R4UD_Project'!$M$15&gt;=4,'R4UD_Project'!$J$23,0)</f>
        <v>0</v>
      </c>
      <c r="AI23" s="13" t="s">
        <v>125</v>
      </c>
      <c r="AJ23" s="82">
        <f>IF('R4UD_Project'!$M$15&gt;=4,'R4UD_Project'!$J$23,0)</f>
        <v>0</v>
      </c>
      <c r="AL23" s="13" t="s">
        <v>125</v>
      </c>
      <c r="AM23" s="82">
        <f>IF('R4UD_Project'!$M$15&gt;=5,'R4UD_Project'!$J$24,0)</f>
        <v>0</v>
      </c>
      <c r="AO23" s="13" t="s">
        <v>125</v>
      </c>
      <c r="AP23" s="82">
        <f>IF('R4UD_Project'!$M$15&gt;=5,'R4UD_Project'!$J$24,0)</f>
        <v>0</v>
      </c>
      <c r="AR23" s="13" t="s">
        <v>125</v>
      </c>
      <c r="AS23" s="82">
        <f>IF('R4UD_Project'!$M$15&gt;=6,'R4UD_Project'!$J$25,0)</f>
        <v>0</v>
      </c>
      <c r="AU23" s="13" t="s">
        <v>125</v>
      </c>
      <c r="AV23" s="82">
        <f>IF('R4UD_Project'!$M$15&gt;=6,'R4UD_Project'!$J$25,0)</f>
        <v>0</v>
      </c>
      <c r="AX23" s="13" t="s">
        <v>125</v>
      </c>
      <c r="AY23" s="82">
        <f>IF('R4UD_Project'!$M$15&gt;=7,'R4UD_Project'!$J$26,0)</f>
        <v>0</v>
      </c>
      <c r="BA23" s="13" t="s">
        <v>125</v>
      </c>
      <c r="BB23" s="82">
        <f>IF('R4UD_Project'!$M$15&gt;=7,'R4UD_Project'!$J$26,0)</f>
        <v>0</v>
      </c>
      <c r="BD23" s="13" t="s">
        <v>125</v>
      </c>
      <c r="BE23" s="82">
        <f>IF('R4UD_Project'!$M$15&gt;=8,'R4UD_Project'!$J$27,0)</f>
        <v>0</v>
      </c>
      <c r="BG23" s="13" t="s">
        <v>125</v>
      </c>
      <c r="BH23" s="82">
        <f>IF('R4UD_Project'!$M$15&gt;=8,'R4UD_Project'!$J$27,0)</f>
        <v>0</v>
      </c>
      <c r="BJ23" s="13" t="s">
        <v>125</v>
      </c>
      <c r="BK23" s="82">
        <f>IF('R4UD_Project'!$M$15&gt;=9,'R4UD_Project'!$J$28,0)</f>
        <v>0</v>
      </c>
      <c r="BM23" s="13" t="s">
        <v>125</v>
      </c>
      <c r="BN23" s="82">
        <f>IF('R4UD_Project'!$M$15&gt;=9,'R4UD_Project'!$J$28,0)</f>
        <v>0</v>
      </c>
      <c r="BP23" s="13" t="s">
        <v>125</v>
      </c>
      <c r="BQ23" s="82">
        <f>IF('R4UD_Project'!$M$15&gt;=10,'R4UD_Project'!$J$29,0)</f>
        <v>0</v>
      </c>
      <c r="BS23" s="13" t="s">
        <v>125</v>
      </c>
      <c r="BT23" s="82">
        <f>IF('R4UD_Project'!$M$15&gt;=10,'R4UD_Project'!$J$29,0)</f>
        <v>0</v>
      </c>
    </row>
    <row r="24" spans="2:72" x14ac:dyDescent="0.25">
      <c r="B24" s="694"/>
      <c r="C24" s="21" t="s">
        <v>307</v>
      </c>
      <c r="D24" s="70">
        <f>IF(AND('R4UD_Ref'!G13=TRUE,'R4UD_Ref'!$C$7=2),2*(2*'R4UD_Ref'!$N$7+IF('R4UD_Project'!$F$32="Paved Shoulder",'R4UD_Ref'!$N$8,0)),0)</f>
        <v>0</v>
      </c>
      <c r="E24" s="101">
        <f>IF('R4UD_Project'!$M$15&gt;=1,IF('R4UD_Ref'!$C$14=2,('R4UD_Project'!P26-'R4UD_Project'!N26)*'R4UD_Calculations'!D24*0.5*'R4UD_Calculations'!D24*115*(1/9)*(1/2000)*('R4UD_Project'!J26*5280+2*'R4UD_Project'!K26*5280),D24*('R2U_Project'!J26*5280+2*'R2U_Project'!K26*5280)/9),0)</f>
        <v>0</v>
      </c>
      <c r="F24" s="292" t="str">
        <f>IF('R4UD_Ref'!$C$14=1,"sq yd","cu yd")</f>
        <v>cu yd</v>
      </c>
      <c r="G24" s="229">
        <f>IF('R4UD_Ref'!$C$14=1,'R4UD_Setup'!$F$29,'R4UD_Setup'!$F$27)</f>
        <v>55</v>
      </c>
      <c r="H24" s="229">
        <f t="shared" si="0"/>
        <v>0</v>
      </c>
      <c r="J24" s="616" t="s">
        <v>48</v>
      </c>
      <c r="K24" s="14" t="s">
        <v>208</v>
      </c>
      <c r="L24" s="75">
        <f>IF('R4UD_Ref'!$D$124=1,'R4UD_Setup'!F76,'R4UD_Setup'!F90)</f>
        <v>1.16988301169883E-2</v>
      </c>
      <c r="N24" s="13" t="s">
        <v>126</v>
      </c>
      <c r="O24" s="83">
        <f>IF('R4UD_Ref'!$C$7=1,'R4UD_Project'!$G$19,'R4UD_Project'!$L$20)</f>
        <v>4000</v>
      </c>
      <c r="Q24" s="13" t="s">
        <v>126</v>
      </c>
      <c r="R24" s="83">
        <f>IF('R4UD_Ref'!$C$7=1,'R4UD_Project'!$G$19,'R4UD_Project'!$L$20)</f>
        <v>4000</v>
      </c>
      <c r="T24" s="13" t="s">
        <v>126</v>
      </c>
      <c r="U24" s="83">
        <f>'R4UD_Project'!$L$21</f>
        <v>1500</v>
      </c>
      <c r="W24" s="13" t="s">
        <v>126</v>
      </c>
      <c r="X24" s="83">
        <f>'R4UD_Project'!$L$21</f>
        <v>1500</v>
      </c>
      <c r="Z24" s="13" t="s">
        <v>126</v>
      </c>
      <c r="AA24" s="83">
        <f>'R4UD_Project'!$L$22</f>
        <v>1700</v>
      </c>
      <c r="AC24" s="13" t="s">
        <v>126</v>
      </c>
      <c r="AD24" s="83">
        <f>'R4UD_Project'!$L$22</f>
        <v>1700</v>
      </c>
      <c r="AF24" s="13" t="s">
        <v>126</v>
      </c>
      <c r="AG24" s="83">
        <f>'R4UD_Project'!$L$23</f>
        <v>1200</v>
      </c>
      <c r="AI24" s="13" t="s">
        <v>126</v>
      </c>
      <c r="AJ24" s="83">
        <f>'R4UD_Project'!$L$23</f>
        <v>1200</v>
      </c>
      <c r="AL24" s="13" t="s">
        <v>126</v>
      </c>
      <c r="AM24" s="83">
        <f>'R4UD_Project'!$L$24</f>
        <v>0</v>
      </c>
      <c r="AO24" s="13" t="s">
        <v>126</v>
      </c>
      <c r="AP24" s="83">
        <f>'R4UD_Project'!$L$24</f>
        <v>0</v>
      </c>
      <c r="AR24" s="13" t="s">
        <v>126</v>
      </c>
      <c r="AS24" s="83">
        <f>'R4UD_Project'!$L$25</f>
        <v>0</v>
      </c>
      <c r="AU24" s="13" t="s">
        <v>126</v>
      </c>
      <c r="AV24" s="83">
        <f>'R4UD_Project'!$L$25</f>
        <v>0</v>
      </c>
      <c r="AX24" s="13" t="s">
        <v>126</v>
      </c>
      <c r="AY24" s="83">
        <f>'R4UD_Project'!$L$26</f>
        <v>0</v>
      </c>
      <c r="BA24" s="13" t="s">
        <v>126</v>
      </c>
      <c r="BB24" s="83">
        <f>'R4UD_Project'!$L$26</f>
        <v>0</v>
      </c>
      <c r="BD24" s="13" t="s">
        <v>126</v>
      </c>
      <c r="BE24" s="83">
        <f>'R4UD_Project'!$L$27</f>
        <v>0</v>
      </c>
      <c r="BG24" s="13" t="s">
        <v>126</v>
      </c>
      <c r="BH24" s="83">
        <f>'R4UD_Project'!$L$27</f>
        <v>0</v>
      </c>
      <c r="BJ24" s="13" t="s">
        <v>126</v>
      </c>
      <c r="BK24" s="83">
        <f>'R4UD_Project'!$L$28</f>
        <v>0</v>
      </c>
      <c r="BM24" s="13" t="s">
        <v>126</v>
      </c>
      <c r="BN24" s="83">
        <f>'R4UD_Project'!$L$28</f>
        <v>0</v>
      </c>
      <c r="BP24" s="13" t="s">
        <v>126</v>
      </c>
      <c r="BQ24" s="83">
        <f>'R4UD_Project'!$L$29</f>
        <v>0</v>
      </c>
      <c r="BS24" s="13" t="s">
        <v>126</v>
      </c>
      <c r="BT24" s="83">
        <f>'R4UD_Project'!$L$29</f>
        <v>0</v>
      </c>
    </row>
    <row r="25" spans="2:72" x14ac:dyDescent="0.25">
      <c r="B25" s="694"/>
      <c r="C25" s="21" t="s">
        <v>308</v>
      </c>
      <c r="D25" s="70">
        <f>IF(AND('R4UD_Ref'!G14=TRUE,'R4UD_Ref'!$C$7=2),2*(2*'R4UD_Ref'!$N$7+IF('R4UD_Project'!$F$32="Paved Shoulder",'R4UD_Ref'!$N$8,0)),0)</f>
        <v>0</v>
      </c>
      <c r="E25" s="101">
        <f>IF('R4UD_Project'!$M$15&gt;=1,IF('R4UD_Ref'!$C$14=2,('R4UD_Project'!P27-'R4UD_Project'!N27)*'R4UD_Calculations'!D25*0.5*'R4UD_Calculations'!D25*115*(1/9)*(1/2000)*('R4UD_Project'!J27*5280+2*'R4UD_Project'!K27*5280),D25*('R2U_Project'!J27*5280+2*'R2U_Project'!K27*5280)/9),0)</f>
        <v>0</v>
      </c>
      <c r="F25" s="292" t="str">
        <f>IF('R4UD_Ref'!$C$14=1,"sq yd","cu yd")</f>
        <v>cu yd</v>
      </c>
      <c r="G25" s="229">
        <f>IF('R4UD_Ref'!$C$14=1,'R4UD_Setup'!$F$29,'R4UD_Setup'!$F$27)</f>
        <v>55</v>
      </c>
      <c r="H25" s="229">
        <f t="shared" si="0"/>
        <v>0</v>
      </c>
      <c r="J25" s="696"/>
      <c r="K25" s="14" t="s">
        <v>209</v>
      </c>
      <c r="L25" s="75">
        <f>IF('R4UD_Ref'!$D$124=1,'R4UD_Setup'!F77,'R4UD_Setup'!F91)</f>
        <v>8.9991000899909983E-4</v>
      </c>
      <c r="N25" s="13" t="s">
        <v>127</v>
      </c>
      <c r="O25" s="1" t="str">
        <f>IF('R4UD_Ref'!$C$7=1,'R4UD_Project'!$G$21,'R4UD_Project'!$M$20)</f>
        <v>No</v>
      </c>
      <c r="Q25" s="13" t="s">
        <v>127</v>
      </c>
      <c r="R25" s="1" t="str">
        <f>IF('R4UD_Ref'!$C$7=1,'R4UD_Project'!$G$21,'R4UD_Project'!$M$20)</f>
        <v>No</v>
      </c>
      <c r="T25" s="13" t="s">
        <v>127</v>
      </c>
      <c r="U25" s="1" t="str">
        <f>'R4UD_Project'!$M$21</f>
        <v>No</v>
      </c>
      <c r="W25" s="13" t="s">
        <v>127</v>
      </c>
      <c r="X25" s="1" t="str">
        <f>'R4UD_Project'!$M$21</f>
        <v>No</v>
      </c>
      <c r="Z25" s="13" t="s">
        <v>127</v>
      </c>
      <c r="AA25" s="1" t="str">
        <f>'R4UD_Project'!$M$22</f>
        <v>No</v>
      </c>
      <c r="AC25" s="13" t="s">
        <v>127</v>
      </c>
      <c r="AD25" s="1" t="str">
        <f>'R4UD_Project'!$M$22</f>
        <v>No</v>
      </c>
      <c r="AF25" s="13" t="s">
        <v>127</v>
      </c>
      <c r="AG25" s="1" t="str">
        <f>'R4UD_Project'!$M$23</f>
        <v>No</v>
      </c>
      <c r="AI25" s="13" t="s">
        <v>127</v>
      </c>
      <c r="AJ25" s="1" t="str">
        <f>'R4UD_Project'!$M$23</f>
        <v>No</v>
      </c>
      <c r="AL25" s="13" t="s">
        <v>127</v>
      </c>
      <c r="AM25" s="1" t="str">
        <f>'R4UD_Project'!$M$24</f>
        <v>No</v>
      </c>
      <c r="AO25" s="13" t="s">
        <v>127</v>
      </c>
      <c r="AP25" s="1" t="str">
        <f>'R4UD_Project'!$M$24</f>
        <v>No</v>
      </c>
      <c r="AR25" s="13" t="s">
        <v>127</v>
      </c>
      <c r="AS25" s="1" t="str">
        <f>'R4UD_Project'!$M$25</f>
        <v>No</v>
      </c>
      <c r="AU25" s="13" t="s">
        <v>127</v>
      </c>
      <c r="AV25" s="1" t="str">
        <f>'R4UD_Project'!$M$25</f>
        <v>No</v>
      </c>
      <c r="AX25" s="13" t="s">
        <v>127</v>
      </c>
      <c r="AY25" s="1" t="str">
        <f>'R4UD_Project'!$M$26</f>
        <v>No</v>
      </c>
      <c r="BA25" s="13" t="s">
        <v>127</v>
      </c>
      <c r="BB25" s="1" t="str">
        <f>'R4UD_Project'!$M$26</f>
        <v>No</v>
      </c>
      <c r="BD25" s="13" t="s">
        <v>127</v>
      </c>
      <c r="BE25" s="1" t="str">
        <f>'R4UD_Project'!$M$27</f>
        <v>No</v>
      </c>
      <c r="BG25" s="13" t="s">
        <v>127</v>
      </c>
      <c r="BH25" s="1" t="str">
        <f>'R4UD_Project'!$M$27</f>
        <v>No</v>
      </c>
      <c r="BJ25" s="13" t="s">
        <v>127</v>
      </c>
      <c r="BK25" s="1" t="str">
        <f>'R4UD_Project'!$M$28</f>
        <v>No</v>
      </c>
      <c r="BM25" s="13" t="s">
        <v>127</v>
      </c>
      <c r="BN25" s="1" t="str">
        <f>'R4UD_Project'!$M$28</f>
        <v>No</v>
      </c>
      <c r="BP25" s="13" t="s">
        <v>127</v>
      </c>
      <c r="BQ25" s="1" t="str">
        <f>'R4UD_Project'!$M$29</f>
        <v>No</v>
      </c>
      <c r="BS25" s="13" t="s">
        <v>127</v>
      </c>
      <c r="BT25" s="1" t="str">
        <f>'R4UD_Project'!$M$29</f>
        <v>No</v>
      </c>
    </row>
    <row r="26" spans="2:72" x14ac:dyDescent="0.25">
      <c r="B26" s="694"/>
      <c r="C26" s="21" t="s">
        <v>309</v>
      </c>
      <c r="D26" s="70">
        <f>IF(AND('R4UD_Ref'!G15=TRUE,'R4UD_Ref'!$C$7=2),2*(2*'R4UD_Ref'!$N$7+IF('R4UD_Project'!$F$32="Paved Shoulder",'R4UD_Ref'!$N$8,0)),0)</f>
        <v>0</v>
      </c>
      <c r="E26" s="101">
        <f>IF('R4UD_Project'!$M$15&gt;=1,IF('R4UD_Ref'!$C$14=2,('R4UD_Project'!P28-'R4UD_Project'!N28)*'R4UD_Calculations'!D26*0.5*'R4UD_Calculations'!D26*115*(1/9)*(1/2000)*('R4UD_Project'!J28*5280+2*'R4UD_Project'!K28*5280),D26*('R2U_Project'!J28*5280+2*'R2U_Project'!K28*5280)/9),0)</f>
        <v>0</v>
      </c>
      <c r="F26" s="292" t="str">
        <f>IF('R4UD_Ref'!$C$14=1,"sq yd","cu yd")</f>
        <v>cu yd</v>
      </c>
      <c r="G26" s="229">
        <f>IF('R4UD_Ref'!$C$14=1,'R4UD_Setup'!$F$29,'R4UD_Setup'!$F$27)</f>
        <v>55</v>
      </c>
      <c r="H26" s="229">
        <f t="shared" si="0"/>
        <v>0</v>
      </c>
      <c r="J26" s="696"/>
      <c r="K26" s="14" t="s">
        <v>210</v>
      </c>
      <c r="L26" s="75">
        <f>IF('R4UD_Ref'!$D$124=1,'R4UD_Setup'!F78,'R4UD_Setup'!F92)</f>
        <v>3.4996500349964996E-3</v>
      </c>
      <c r="N26" s="18" t="s">
        <v>118</v>
      </c>
      <c r="O26" s="81">
        <f>IF('R4UD_Ref'!$D$124=2,1,1)</f>
        <v>1</v>
      </c>
      <c r="Q26" s="18" t="s">
        <v>118</v>
      </c>
      <c r="R26" s="81">
        <f>IF('R4UD_Ref'!$D$124=2,1,1)</f>
        <v>1</v>
      </c>
      <c r="T26" s="18" t="s">
        <v>118</v>
      </c>
      <c r="U26" s="111">
        <f>IF('R4UD_Ref'!$D$124=2,1,1)</f>
        <v>1</v>
      </c>
      <c r="W26" s="18" t="s">
        <v>118</v>
      </c>
      <c r="X26" s="111">
        <f>IF('R4UD_Ref'!$D$124=2,1,1)</f>
        <v>1</v>
      </c>
      <c r="Z26" s="18" t="s">
        <v>118</v>
      </c>
      <c r="AA26" s="111">
        <f>IF('R4UD_Ref'!$D$124=2,1,1)</f>
        <v>1</v>
      </c>
      <c r="AC26" s="18" t="s">
        <v>118</v>
      </c>
      <c r="AD26" s="111">
        <f>IF('R4UD_Ref'!$D$124=2,1,1)</f>
        <v>1</v>
      </c>
      <c r="AF26" s="18" t="s">
        <v>118</v>
      </c>
      <c r="AG26" s="111">
        <f>IF('R4UD_Ref'!$D$124=2,1,1)</f>
        <v>1</v>
      </c>
      <c r="AI26" s="18" t="s">
        <v>118</v>
      </c>
      <c r="AJ26" s="111">
        <f>IF('R4UD_Ref'!$D$124=2,1,1)</f>
        <v>1</v>
      </c>
      <c r="AL26" s="18" t="s">
        <v>118</v>
      </c>
      <c r="AM26" s="111">
        <f>IF('R4UD_Ref'!$D$124=2,1,1)</f>
        <v>1</v>
      </c>
      <c r="AO26" s="18" t="s">
        <v>118</v>
      </c>
      <c r="AP26" s="111">
        <f>IF('R4UD_Ref'!$D$124=2,1,1)</f>
        <v>1</v>
      </c>
      <c r="AR26" s="18" t="s">
        <v>118</v>
      </c>
      <c r="AS26" s="111">
        <f>IF('R4UD_Ref'!$D$124=2,1,1)</f>
        <v>1</v>
      </c>
      <c r="AU26" s="18" t="s">
        <v>118</v>
      </c>
      <c r="AV26" s="111">
        <f>IF('R4UD_Ref'!$D$124=2,1,1)</f>
        <v>1</v>
      </c>
      <c r="AX26" s="18" t="s">
        <v>118</v>
      </c>
      <c r="AY26" s="111">
        <f>IF('R4UD_Ref'!$D$124=2,1,1)</f>
        <v>1</v>
      </c>
      <c r="BA26" s="18" t="s">
        <v>118</v>
      </c>
      <c r="BB26" s="111">
        <f>IF('R4UD_Ref'!$D$124=2,1,1)</f>
        <v>1</v>
      </c>
      <c r="BD26" s="18" t="s">
        <v>118</v>
      </c>
      <c r="BE26" s="111">
        <f>IF('R4UD_Ref'!$D$124=2,1,1)</f>
        <v>1</v>
      </c>
      <c r="BG26" s="18" t="s">
        <v>118</v>
      </c>
      <c r="BH26" s="111">
        <f>IF('R4UD_Ref'!$D$124=2,1,1)</f>
        <v>1</v>
      </c>
      <c r="BJ26" s="18" t="s">
        <v>118</v>
      </c>
      <c r="BK26" s="111">
        <f>IF('R4UD_Ref'!$D$124=2,1,1)</f>
        <v>1</v>
      </c>
      <c r="BM26" s="18" t="s">
        <v>118</v>
      </c>
      <c r="BN26" s="111">
        <f>IF('R4UD_Ref'!$D$124=2,1,1)</f>
        <v>1</v>
      </c>
      <c r="BP26" s="18" t="s">
        <v>118</v>
      </c>
      <c r="BQ26" s="111">
        <f>IF('R4UD_Ref'!$D$124=2,1,1)</f>
        <v>1</v>
      </c>
      <c r="BS26" s="18" t="s">
        <v>118</v>
      </c>
      <c r="BT26" s="111">
        <f>IF('R4UD_Ref'!$D$124=2,1,1)</f>
        <v>1</v>
      </c>
    </row>
    <row r="27" spans="2:72" x14ac:dyDescent="0.25">
      <c r="B27" s="694"/>
      <c r="C27" s="21" t="s">
        <v>310</v>
      </c>
      <c r="D27" s="70">
        <f>IF(AND('R4UD_Ref'!G16=TRUE,'R4UD_Ref'!$C$7=2),2*(2*'R4UD_Ref'!$N$7+IF('R4UD_Project'!$F$32="Paved Shoulder",'R4UD_Ref'!$N$8,0)),0)</f>
        <v>0</v>
      </c>
      <c r="E27" s="101">
        <f>IF('R4UD_Project'!$M$15&gt;=1,IF('R4UD_Ref'!$C$14=2,('R4UD_Project'!P29-'R4UD_Project'!N29)*'R4UD_Calculations'!D27*0.5*'R4UD_Calculations'!D27*115*(1/9)*(1/2000)*('R4UD_Project'!J29*5280+2*'R4UD_Project'!K29*5280),D27*('R2U_Project'!J29*5280+2*'R2U_Project'!K29*5280)/9),0)</f>
        <v>0</v>
      </c>
      <c r="F27" s="292" t="str">
        <f>IF('R4UD_Ref'!$C$14=1,"sq yd","cu yd")</f>
        <v>cu yd</v>
      </c>
      <c r="G27" s="229">
        <f>IF('R4UD_Ref'!$C$14=1,'R4UD_Setup'!$F$29,'R4UD_Setup'!$F$27)</f>
        <v>55</v>
      </c>
      <c r="H27" s="229">
        <f t="shared" si="0"/>
        <v>0</v>
      </c>
      <c r="J27" s="696"/>
      <c r="K27" s="14" t="s">
        <v>211</v>
      </c>
      <c r="L27" s="75">
        <f>IF('R4UD_Ref'!$D$124=1,'R4UD_Setup'!F79,'R4UD_Setup'!F93)</f>
        <v>7.7992200779921986E-3</v>
      </c>
      <c r="AJ27" s="89"/>
    </row>
    <row r="28" spans="2:72" ht="15.75" customHeight="1" x14ac:dyDescent="0.25">
      <c r="B28" s="523" t="s">
        <v>731</v>
      </c>
      <c r="C28" s="15" t="s">
        <v>732</v>
      </c>
      <c r="D28" s="70">
        <f>2*('R4UD_Ref'!C21-'R4UD_Ref'!C22)</f>
        <v>0</v>
      </c>
      <c r="E28" s="101">
        <f>D28*'R4UD_Project'!C5*5280/43560</f>
        <v>0</v>
      </c>
      <c r="F28" s="525" t="s">
        <v>733</v>
      </c>
      <c r="G28" s="524">
        <f>'R4UD_Setup'!F35</f>
        <v>5000</v>
      </c>
      <c r="H28" s="229">
        <f>IF('R4UD_Project'!C67=TRUE,'R4UD_Calculations'!E28*'R4UD_Calculations'!G28,0)</f>
        <v>0</v>
      </c>
      <c r="J28" s="696"/>
      <c r="K28" s="14" t="s">
        <v>212</v>
      </c>
      <c r="L28" s="75">
        <f>IF('R4UD_Ref'!$D$124=1,'R4UD_Setup'!F80,'R4UD_Setup'!F94)</f>
        <v>0.10738926107389259</v>
      </c>
      <c r="N28" s="565" t="s">
        <v>128</v>
      </c>
      <c r="O28" s="565"/>
      <c r="P28" s="565"/>
      <c r="Q28" s="565"/>
      <c r="R28" s="565"/>
      <c r="T28" s="565" t="s">
        <v>135</v>
      </c>
      <c r="U28" s="565"/>
      <c r="V28" s="565"/>
      <c r="W28" s="565"/>
      <c r="X28" s="565"/>
      <c r="Z28" s="565" t="s">
        <v>163</v>
      </c>
      <c r="AA28" s="565"/>
      <c r="AB28" s="565"/>
      <c r="AC28" s="565"/>
      <c r="AD28" s="565"/>
      <c r="AF28" s="565" t="s">
        <v>165</v>
      </c>
      <c r="AG28" s="565"/>
      <c r="AH28" s="565"/>
      <c r="AI28" s="565"/>
      <c r="AJ28" s="565"/>
      <c r="AL28" s="565" t="s">
        <v>245</v>
      </c>
      <c r="AM28" s="565"/>
      <c r="AN28" s="565"/>
      <c r="AO28" s="565"/>
      <c r="AP28" s="565"/>
      <c r="AR28" s="565" t="s">
        <v>247</v>
      </c>
      <c r="AS28" s="565"/>
      <c r="AT28" s="565"/>
      <c r="AU28" s="565"/>
      <c r="AV28" s="565"/>
      <c r="AX28" s="565" t="s">
        <v>249</v>
      </c>
      <c r="AY28" s="565"/>
      <c r="AZ28" s="565"/>
      <c r="BA28" s="565"/>
      <c r="BB28" s="565"/>
      <c r="BD28" s="565" t="s">
        <v>251</v>
      </c>
      <c r="BE28" s="565"/>
      <c r="BF28" s="565"/>
      <c r="BG28" s="565"/>
      <c r="BH28" s="565"/>
      <c r="BJ28" s="565" t="s">
        <v>253</v>
      </c>
      <c r="BK28" s="565"/>
      <c r="BL28" s="565"/>
      <c r="BM28" s="565"/>
      <c r="BN28" s="565"/>
      <c r="BP28" s="565" t="s">
        <v>255</v>
      </c>
      <c r="BQ28" s="565"/>
      <c r="BR28" s="565"/>
      <c r="BS28" s="565"/>
      <c r="BT28" s="565"/>
    </row>
    <row r="29" spans="2:72" x14ac:dyDescent="0.25">
      <c r="J29" s="696"/>
      <c r="K29" s="14" t="s">
        <v>213</v>
      </c>
      <c r="L29" s="75">
        <f>IF('R4UD_Ref'!$D$124=1,'R4UD_Setup'!F81,'R4UD_Setup'!F95)</f>
        <v>1.5598440155984397E-2</v>
      </c>
      <c r="N29" s="692" t="s">
        <v>129</v>
      </c>
      <c r="O29" s="692"/>
      <c r="Q29" s="692" t="s">
        <v>130</v>
      </c>
      <c r="R29" s="692"/>
      <c r="T29" s="692" t="s">
        <v>129</v>
      </c>
      <c r="U29" s="692"/>
      <c r="W29" s="692" t="s">
        <v>130</v>
      </c>
      <c r="X29" s="692"/>
      <c r="Z29" s="692" t="s">
        <v>129</v>
      </c>
      <c r="AA29" s="692"/>
      <c r="AC29" s="692" t="s">
        <v>130</v>
      </c>
      <c r="AD29" s="692"/>
      <c r="AF29" s="692" t="s">
        <v>129</v>
      </c>
      <c r="AG29" s="692"/>
      <c r="AI29" s="692" t="s">
        <v>130</v>
      </c>
      <c r="AJ29" s="692"/>
      <c r="AL29" s="692" t="s">
        <v>129</v>
      </c>
      <c r="AM29" s="692"/>
      <c r="AO29" s="692" t="s">
        <v>130</v>
      </c>
      <c r="AP29" s="692"/>
      <c r="AR29" s="692" t="s">
        <v>129</v>
      </c>
      <c r="AS29" s="692"/>
      <c r="AU29" s="692" t="s">
        <v>130</v>
      </c>
      <c r="AV29" s="692"/>
      <c r="AX29" s="692" t="s">
        <v>129</v>
      </c>
      <c r="AY29" s="692"/>
      <c r="BA29" s="692" t="s">
        <v>130</v>
      </c>
      <c r="BB29" s="692"/>
      <c r="BD29" s="692" t="s">
        <v>129</v>
      </c>
      <c r="BE29" s="692"/>
      <c r="BG29" s="692" t="s">
        <v>130</v>
      </c>
      <c r="BH29" s="692"/>
      <c r="BJ29" s="692" t="s">
        <v>129</v>
      </c>
      <c r="BK29" s="692"/>
      <c r="BM29" s="692" t="s">
        <v>130</v>
      </c>
      <c r="BN29" s="692"/>
      <c r="BP29" s="692" t="s">
        <v>129</v>
      </c>
      <c r="BQ29" s="692"/>
      <c r="BS29" s="692" t="s">
        <v>130</v>
      </c>
      <c r="BT29" s="692"/>
    </row>
    <row r="30" spans="2:72" x14ac:dyDescent="0.25">
      <c r="B30" s="24" t="s">
        <v>291</v>
      </c>
      <c r="C30" s="230">
        <f>SUM(H4:H27)</f>
        <v>468864</v>
      </c>
      <c r="J30" s="696"/>
      <c r="K30" s="14" t="s">
        <v>214</v>
      </c>
      <c r="L30" s="75">
        <f>IF('R4UD_Ref'!$D$124=1,'R4UD_Setup'!F82,'R4UD_Setup'!F96)</f>
        <v>0.31526847315268469</v>
      </c>
      <c r="N30" s="571" t="s">
        <v>131</v>
      </c>
      <c r="O30" s="689">
        <f>IF('R4UD_eRef'!C3&lt;'R4UD_eRef'!C8,'R4UD_eRef'!C4/100,EVEN(ROUNDUP('R4UD_eRef'!C17/100,3)*1000)/1000)</f>
        <v>4.3999999999999997E-2</v>
      </c>
      <c r="Q30" s="571" t="s">
        <v>131</v>
      </c>
      <c r="R30" s="689">
        <f>IF('R4UD_eRef'!F3&lt;'R4UD_eRef'!F8,'R4UD_eRef'!F4/100,EVEN(ROUNDUP('R4UD_eRef'!F17/100,3)*1000)/1000)</f>
        <v>4.3999999999999997E-2</v>
      </c>
      <c r="T30" s="571" t="s">
        <v>131</v>
      </c>
      <c r="U30" s="689">
        <f>IF('R4UD_eRef'!I3&lt;'R4UD_eRef'!I8,'R4UD_eRef'!I4/100,EVEN(ROUNDUP('R4UD_eRef'!I17/100,3)*1000)/1000)</f>
        <v>0.08</v>
      </c>
      <c r="W30" s="571" t="s">
        <v>131</v>
      </c>
      <c r="X30" s="689">
        <f>IF('R4UD_eRef'!L3&lt;'R4UD_eRef'!L8,'R4UD_eRef'!L4/100,EVEN(ROUNDUP('R4UD_eRef'!L17/100,3)*1000)/1000)</f>
        <v>0.08</v>
      </c>
      <c r="Z30" s="571" t="s">
        <v>131</v>
      </c>
      <c r="AA30" s="689">
        <f>IF('R4UD_eRef'!O3&lt;'R4UD_eRef'!O8,'R4UD_eRef'!O4/100,EVEN(ROUNDUP('R4UD_eRef'!O17/100,3)*1000)/1000)</f>
        <v>0.08</v>
      </c>
      <c r="AC30" s="571" t="s">
        <v>131</v>
      </c>
      <c r="AD30" s="689">
        <f>IF('R4UD_eRef'!R3&lt;'R4UD_eRef'!R8,'R4UD_eRef'!R4/100,EVEN(ROUNDUP('R4UD_eRef'!R17/100,3)*1000)/1000)</f>
        <v>0.08</v>
      </c>
      <c r="AF30" s="571" t="s">
        <v>131</v>
      </c>
      <c r="AG30" s="689">
        <f>IF('R4UD_eRef'!U3&lt;'R4UD_eRef'!U8,'R4UD_eRef'!U4/100,EVEN(ROUNDUP('R4UD_eRef'!U17/100,3)*1000)/1000)</f>
        <v>0.08</v>
      </c>
      <c r="AI30" s="571" t="s">
        <v>131</v>
      </c>
      <c r="AJ30" s="689">
        <f>IF('R4UD_eRef'!X3&lt;'R4UD_eRef'!X8,'R4UD_eRef'!X4/100,EVEN(ROUNDUP('R4UD_eRef'!X17/100,3)*1000)/1000)</f>
        <v>0.08</v>
      </c>
      <c r="AL30" s="571" t="s">
        <v>131</v>
      </c>
      <c r="AM30" s="689">
        <f>IF('R4UD_eRef'!AA3&lt;'R4UD_eRef'!AA8,'R4UD_eRef'!AA4/100,EVEN(ROUNDUP('R4UD_eRef'!AA17/100,3)*1000)/1000)</f>
        <v>0.08</v>
      </c>
      <c r="AO30" s="571" t="s">
        <v>131</v>
      </c>
      <c r="AP30" s="689">
        <f>IF('R4UD_eRef'!AD3&lt;'R4UD_eRef'!AD8,'R4UD_eRef'!AD4/100,EVEN(ROUNDUP('R4UD_eRef'!AD17/100,3)*1000)/1000)</f>
        <v>0.08</v>
      </c>
      <c r="AR30" s="571" t="s">
        <v>131</v>
      </c>
      <c r="AS30" s="689">
        <f>IF('R4UD_eRef'!AG3&lt;'R4UD_eRef'!AG8,'R4UD_eRef'!AG4/100,EVEN(ROUNDUP('R4UD_eRef'!AG17/100,3)*1000)/1000)</f>
        <v>0.08</v>
      </c>
      <c r="AU30" s="571" t="s">
        <v>131</v>
      </c>
      <c r="AV30" s="689">
        <f>IF('R4UD_eRef'!AJ3&lt;'R4UD_eRef'!AJ8,'R4UD_eRef'!AJ4/100,EVEN(ROUNDUP('R4UD_eRef'!AJ17/100,3)*1000)/1000)</f>
        <v>0.08</v>
      </c>
      <c r="AX30" s="571" t="s">
        <v>131</v>
      </c>
      <c r="AY30" s="689">
        <f>IF('R4UD_eRef'!AM3&lt;'R4UD_eRef'!AM8,'R4UD_eRef'!AM4/100,EVEN(ROUNDUP('R4UD_eRef'!AM17/100,3)*1000)/1000)</f>
        <v>0.08</v>
      </c>
      <c r="BA30" s="571" t="s">
        <v>131</v>
      </c>
      <c r="BB30" s="689">
        <f>IF('R4UD_eRef'!AP3&lt;'R4UD_eRef'!AP8,'R4UD_eRef'!AP4/100,EVEN(ROUNDUP('R4UD_eRef'!AP17/100,3)*1000)/1000)</f>
        <v>0.08</v>
      </c>
      <c r="BD30" s="571" t="s">
        <v>131</v>
      </c>
      <c r="BE30" s="689">
        <f>IF('R4UD_eRef'!AS3&lt;'R4UD_eRef'!AS8,'R4UD_eRef'!AS4/100,EVEN(ROUNDUP('R4UD_eRef'!AS17/100,3)*1000)/1000)</f>
        <v>0.08</v>
      </c>
      <c r="BG30" s="571" t="s">
        <v>131</v>
      </c>
      <c r="BH30" s="689">
        <f>IF('R4UD_eRef'!AV3&lt;'R4UD_eRef'!AV8,'R4UD_eRef'!AV4/100,EVEN(ROUNDUP('R4UD_eRef'!AV17/100,3)*1000)/1000)</f>
        <v>0.08</v>
      </c>
      <c r="BJ30" s="571" t="s">
        <v>131</v>
      </c>
      <c r="BK30" s="689">
        <f>IF('R4UD_eRef'!AY3&lt;'R4UD_eRef'!AY8,'R4UD_eRef'!AY4/100,EVEN(ROUNDUP('R4UD_eRef'!AY17/100,3)*1000)/1000)</f>
        <v>0.08</v>
      </c>
      <c r="BM30" s="571" t="s">
        <v>131</v>
      </c>
      <c r="BN30" s="689">
        <f>IF('R4UD_eRef'!BB3&lt;'R4UD_eRef'!BB8,'R4UD_eRef'!BB4/100,EVEN(ROUNDUP('R4UD_eRef'!BB17/100,3)*1000)/1000)</f>
        <v>0.08</v>
      </c>
      <c r="BP30" s="571" t="s">
        <v>131</v>
      </c>
      <c r="BQ30" s="689">
        <f>IF('R4UD_eRef'!BE3&lt;'R4UD_eRef'!BE8,'R4UD_eRef'!BE4/100,EVEN(ROUNDUP('R4UD_eRef'!BE17/100,3)*1000)/1000)</f>
        <v>0.08</v>
      </c>
      <c r="BS30" s="571" t="s">
        <v>131</v>
      </c>
      <c r="BT30" s="689">
        <f>IF('R4UD_eRef'!BH3&lt;'R4UD_eRef'!BH8,'R4UD_eRef'!BH4/100,EVEN(ROUNDUP('R4UD_eRef'!BH17/100,3)*1000)/1000)</f>
        <v>0.08</v>
      </c>
    </row>
    <row r="31" spans="2:72" x14ac:dyDescent="0.25">
      <c r="B31" s="24" t="s">
        <v>290</v>
      </c>
      <c r="C31" s="230">
        <f>IF('R4UD_Setup'!F52=20,SUM('R4UD_Calculations'!H4:H13),IF('R4UD_Setup'!F52=10,SUM('R4UD_Calculations'!H4:H13)+SUM('R4UD_Calculations'!H4:H13)*(1+'R4UD_Setup'!F50)^(-10),SUM('R4UD_Calculations'!H4:H13)+SUM('R4UD_Calculations'!H4:H13)*(1+'R4UD_Setup'!F50)^(-5)+SUM('R4UD_Calculations'!H4:H13)*(1+'R4UD_Setup'!F50)^(-10)+SUM('R4UD_Calculations'!H4:H13)*(1+'R4UD_Setup'!F50)^(-15)))+IF('R4UD_Setup'!F55=20,SUM('R4UD_Calculations'!H14:H15),IF('R4UD_Setup'!F55=10,SUM('R4UD_Calculations'!H14:H15)+SUM('R4UD_Calculations'!H14:H15)*(1+'R4UD_Setup'!F50)^(-10),SUM('R4UD_Calculations'!H14:H15)+SUM('R4UD_Calculations'!H14:H15)*(1+'R4UD_Setup'!F50)^(-5)+SUM('R4UD_Calculations'!H14:H15)*(1+'R4UD_Setup'!F50)^(-10)+SUM('R4UD_Calculations'!H14:H15)*(1+'R4UD_Setup'!F50)^(-15)))+IF('R4UD_Setup'!F56=20,SUM('R4UD_Calculations'!H16:H17),IF('R4UD_Setup'!F56=10,SUM('R4UD_Calculations'!H16:H17)+SUM('R4UD_Calculations'!H16:H17)*(1+'R4UD_Setup'!F50)^(-10),SUM('R4UD_Calculations'!H16:H17)+SUM('R4UD_Calculations'!H16:H17)*(1+'R4UD_Setup'!F50)^(-5)+SUM('R4UD_Calculations'!H16:H17)*(1+'R4UD_Setup'!F50)^(-10)+SUM('R4UD_Calculations'!H16:H17)*(1+'R4UD_Setup'!F50)^(-15)))+IF('R4UD_Setup'!F57=20,SUM('R4UD_Calculations'!H18:H27),IF('R4UD_Setup'!F57=10,SUM('R4UD_Calculations'!H18:H27)+SUM('R4UD_Calculations'!H18:H27)*(1+'R4UD_Setup'!F50)^(-10),SUM('R4UD_Calculations'!H18:H27)+SUM('R4UD_Calculations'!H18:H27)*(1+'R4UD_Setup'!F50)^(-5)+SUM('R4UD_Calculations'!H18:H27)*(1+'R4UD_Setup'!F50)^(-10)+SUM('R4UD_Calculations'!H18:H27)*(1+'R4UD_Setup'!F50)^(-15)))</f>
        <v>468864</v>
      </c>
      <c r="J31" s="696"/>
      <c r="K31" s="14" t="s">
        <v>215</v>
      </c>
      <c r="L31" s="75">
        <f>IF('R4UD_Ref'!$D$124=1,'R4UD_Setup'!F83,'R4UD_Setup'!F97)</f>
        <v>2.0197980201979798E-2</v>
      </c>
      <c r="N31" s="571"/>
      <c r="O31" s="689"/>
      <c r="Q31" s="571"/>
      <c r="R31" s="689"/>
      <c r="T31" s="571"/>
      <c r="U31" s="689"/>
      <c r="W31" s="571"/>
      <c r="X31" s="689"/>
      <c r="Z31" s="571"/>
      <c r="AA31" s="689"/>
      <c r="AC31" s="571"/>
      <c r="AD31" s="689"/>
      <c r="AF31" s="571"/>
      <c r="AG31" s="689"/>
      <c r="AI31" s="571"/>
      <c r="AJ31" s="689"/>
      <c r="AL31" s="571"/>
      <c r="AM31" s="689"/>
      <c r="AO31" s="571"/>
      <c r="AP31" s="689"/>
      <c r="AR31" s="571"/>
      <c r="AS31" s="689"/>
      <c r="AU31" s="571"/>
      <c r="AV31" s="689"/>
      <c r="AX31" s="571"/>
      <c r="AY31" s="689"/>
      <c r="BA31" s="571"/>
      <c r="BB31" s="689"/>
      <c r="BD31" s="571"/>
      <c r="BE31" s="689"/>
      <c r="BG31" s="571"/>
      <c r="BH31" s="689"/>
      <c r="BJ31" s="571"/>
      <c r="BK31" s="689"/>
      <c r="BM31" s="571"/>
      <c r="BN31" s="689"/>
      <c r="BP31" s="571"/>
      <c r="BQ31" s="689"/>
      <c r="BS31" s="571"/>
      <c r="BT31" s="689"/>
    </row>
    <row r="32" spans="2:72" x14ac:dyDescent="0.25">
      <c r="B32" s="7"/>
      <c r="C32" s="4"/>
      <c r="J32" s="696"/>
      <c r="K32" s="14" t="s">
        <v>216</v>
      </c>
      <c r="L32" s="75">
        <f>IF('R4UD_Ref'!$D$124=1,'R4UD_Setup'!F84,'R4UD_Setup'!F98)</f>
        <v>0.40345965403459649</v>
      </c>
      <c r="N32" s="571" t="s">
        <v>132</v>
      </c>
      <c r="O32" s="689">
        <f>'R4UD_Project'!N20</f>
        <v>0.03</v>
      </c>
      <c r="Q32" s="571" t="s">
        <v>134</v>
      </c>
      <c r="R32" s="689">
        <f>IF('R4UD_Project'!O20="Yes",'R4UD_Project'!P20,'R4UD_Project'!N20)</f>
        <v>0.03</v>
      </c>
      <c r="T32" s="571" t="s">
        <v>132</v>
      </c>
      <c r="U32" s="689">
        <f>'R4UD_Project'!N21</f>
        <v>0.03</v>
      </c>
      <c r="W32" s="571" t="s">
        <v>134</v>
      </c>
      <c r="X32" s="689">
        <f>IF('R4UD_Project'!O21="Yes",'R4UD_Project'!P21,'R4UD_Project'!N21)</f>
        <v>0.08</v>
      </c>
      <c r="Z32" s="571" t="s">
        <v>132</v>
      </c>
      <c r="AA32" s="689">
        <f>'R4UD_Project'!N22</f>
        <v>3.5000000000000003E-2</v>
      </c>
      <c r="AC32" s="571" t="s">
        <v>134</v>
      </c>
      <c r="AD32" s="689">
        <f>IF('R4UD_Project'!O22="Yes",'R4UD_Project'!P22,'R4UD_Project'!N22)</f>
        <v>0.08</v>
      </c>
      <c r="AF32" s="571" t="s">
        <v>132</v>
      </c>
      <c r="AG32" s="689">
        <f>'R4UD_Project'!N23</f>
        <v>0.05</v>
      </c>
      <c r="AI32" s="571" t="s">
        <v>134</v>
      </c>
      <c r="AJ32" s="689">
        <f>IF('R4UD_Project'!O23="Yes",'R4UD_Project'!P23,'R4UD_Project'!N23)</f>
        <v>0.08</v>
      </c>
      <c r="AL32" s="571" t="s">
        <v>132</v>
      </c>
      <c r="AM32" s="689">
        <f>'R4UD_Project'!N24</f>
        <v>0</v>
      </c>
      <c r="AO32" s="571" t="s">
        <v>134</v>
      </c>
      <c r="AP32" s="689">
        <f>IF('R4UD_Project'!O24="Yes",'R4UD_Project'!P24,'R4UD_Project'!N24)</f>
        <v>0</v>
      </c>
      <c r="AR32" s="571" t="s">
        <v>132</v>
      </c>
      <c r="AS32" s="689">
        <f>'R4UD_Project'!N25</f>
        <v>0</v>
      </c>
      <c r="AU32" s="571" t="s">
        <v>134</v>
      </c>
      <c r="AV32" s="689">
        <f>IF('R4UD_Project'!O25="Yes",'R4UD_Project'!P25,'R4UD_Project'!N25)</f>
        <v>0</v>
      </c>
      <c r="AX32" s="571" t="s">
        <v>132</v>
      </c>
      <c r="AY32" s="689">
        <f>'R4UD_Project'!N26</f>
        <v>0</v>
      </c>
      <c r="BA32" s="571" t="s">
        <v>134</v>
      </c>
      <c r="BB32" s="689">
        <f>IF('R4UD_Project'!O26="Yes",'R4UD_Project'!P26,'R4UD_Project'!N26)</f>
        <v>0</v>
      </c>
      <c r="BD32" s="571" t="s">
        <v>132</v>
      </c>
      <c r="BE32" s="689">
        <f>'R4UD_Project'!N27</f>
        <v>0</v>
      </c>
      <c r="BG32" s="571" t="s">
        <v>134</v>
      </c>
      <c r="BH32" s="689">
        <f>IF('R4UD_Project'!O27="Yes",'R4UD_Project'!P27,'R4UD_Project'!N27)</f>
        <v>0</v>
      </c>
      <c r="BJ32" s="571" t="s">
        <v>132</v>
      </c>
      <c r="BK32" s="689">
        <f>'R4UD_Project'!N28</f>
        <v>0</v>
      </c>
      <c r="BM32" s="571" t="s">
        <v>134</v>
      </c>
      <c r="BN32" s="689">
        <f>IF('R4UD_Project'!O28="Yes",'R4UD_Project'!P28,'R4UD_Project'!N28)</f>
        <v>0</v>
      </c>
      <c r="BP32" s="571" t="s">
        <v>132</v>
      </c>
      <c r="BQ32" s="689">
        <f>'R4UD_Project'!N29</f>
        <v>0</v>
      </c>
      <c r="BS32" s="571" t="s">
        <v>134</v>
      </c>
      <c r="BT32" s="689">
        <f>IF('R4UD_Project'!O29="Yes",'R4UD_Project'!P29,'R4UD_Project'!N29)</f>
        <v>0</v>
      </c>
    </row>
    <row r="33" spans="2:72" x14ac:dyDescent="0.25">
      <c r="D33" s="286" t="s">
        <v>33</v>
      </c>
      <c r="E33" s="286" t="s">
        <v>295</v>
      </c>
      <c r="F33" s="565" t="s">
        <v>294</v>
      </c>
      <c r="G33" s="565"/>
      <c r="J33" s="696"/>
      <c r="K33" s="21" t="s">
        <v>217</v>
      </c>
      <c r="L33" s="75">
        <f>IF('R4UD_Ref'!$D$124=1,'R4UD_Setup'!F85,'R4UD_Setup'!F99)</f>
        <v>0.10458954104589539</v>
      </c>
      <c r="N33" s="571"/>
      <c r="O33" s="689"/>
      <c r="Q33" s="571"/>
      <c r="R33" s="689"/>
      <c r="T33" s="571"/>
      <c r="U33" s="689"/>
      <c r="W33" s="571"/>
      <c r="X33" s="689"/>
      <c r="Z33" s="571"/>
      <c r="AA33" s="689"/>
      <c r="AC33" s="571"/>
      <c r="AD33" s="689"/>
      <c r="AF33" s="571"/>
      <c r="AG33" s="689"/>
      <c r="AI33" s="571"/>
      <c r="AJ33" s="689"/>
      <c r="AL33" s="571"/>
      <c r="AM33" s="689"/>
      <c r="AO33" s="571"/>
      <c r="AP33" s="689"/>
      <c r="AR33" s="571"/>
      <c r="AS33" s="689"/>
      <c r="AU33" s="571"/>
      <c r="AV33" s="689"/>
      <c r="AX33" s="571"/>
      <c r="AY33" s="689"/>
      <c r="BA33" s="571"/>
      <c r="BB33" s="689"/>
      <c r="BD33" s="571"/>
      <c r="BE33" s="689"/>
      <c r="BG33" s="571"/>
      <c r="BH33" s="689"/>
      <c r="BJ33" s="571"/>
      <c r="BK33" s="689"/>
      <c r="BM33" s="571"/>
      <c r="BN33" s="689"/>
      <c r="BP33" s="571"/>
      <c r="BQ33" s="689"/>
      <c r="BS33" s="571"/>
      <c r="BT33" s="689"/>
    </row>
    <row r="34" spans="2:72" x14ac:dyDescent="0.25">
      <c r="B34" s="695" t="s">
        <v>92</v>
      </c>
      <c r="C34" s="20" t="s">
        <v>29</v>
      </c>
      <c r="D34" s="62">
        <f>'R4UD_Setup'!F45</f>
        <v>4.0000000000000001E-3</v>
      </c>
      <c r="E34" s="230">
        <f>D34*$C$30</f>
        <v>1875.4560000000001</v>
      </c>
      <c r="F34" s="698">
        <f>D34*$C$31</f>
        <v>1875.4560000000001</v>
      </c>
      <c r="G34" s="699"/>
      <c r="J34" s="697"/>
      <c r="K34" s="21" t="s">
        <v>218</v>
      </c>
      <c r="L34" s="75">
        <f>IF('R4UD_Ref'!$D$124=1,'R4UD_Setup'!F86,'R4UD_Setup'!F100)</f>
        <v>9.5990400959903976E-3</v>
      </c>
      <c r="N34" s="571" t="s">
        <v>133</v>
      </c>
      <c r="O34" s="689">
        <f>O30-O32</f>
        <v>1.3999999999999999E-2</v>
      </c>
      <c r="Q34" s="571" t="s">
        <v>133</v>
      </c>
      <c r="R34" s="689">
        <f>R30-R32</f>
        <v>1.3999999999999999E-2</v>
      </c>
      <c r="T34" s="571" t="s">
        <v>133</v>
      </c>
      <c r="U34" s="689">
        <f>U30-U32</f>
        <v>0.05</v>
      </c>
      <c r="W34" s="571" t="s">
        <v>133</v>
      </c>
      <c r="X34" s="689">
        <f>X30-X32</f>
        <v>0</v>
      </c>
      <c r="Z34" s="571" t="s">
        <v>133</v>
      </c>
      <c r="AA34" s="689">
        <f>AA30-AA32</f>
        <v>4.4999999999999998E-2</v>
      </c>
      <c r="AC34" s="571" t="s">
        <v>133</v>
      </c>
      <c r="AD34" s="689">
        <f>AD30-AD32</f>
        <v>0</v>
      </c>
      <c r="AF34" s="571" t="s">
        <v>133</v>
      </c>
      <c r="AG34" s="689">
        <f>AG30-AG32</f>
        <v>0.03</v>
      </c>
      <c r="AI34" s="571" t="s">
        <v>133</v>
      </c>
      <c r="AJ34" s="689">
        <f>AJ30-AJ32</f>
        <v>0</v>
      </c>
      <c r="AL34" s="571" t="s">
        <v>133</v>
      </c>
      <c r="AM34" s="689">
        <f>AM30-AM32</f>
        <v>0.08</v>
      </c>
      <c r="AO34" s="571" t="s">
        <v>133</v>
      </c>
      <c r="AP34" s="689">
        <f>AP30-AP32</f>
        <v>0.08</v>
      </c>
      <c r="AR34" s="571" t="s">
        <v>133</v>
      </c>
      <c r="AS34" s="689">
        <f>AS30-AS32</f>
        <v>0.08</v>
      </c>
      <c r="AU34" s="571" t="s">
        <v>133</v>
      </c>
      <c r="AV34" s="689">
        <f>AV30-AV32</f>
        <v>0.08</v>
      </c>
      <c r="AX34" s="571" t="s">
        <v>133</v>
      </c>
      <c r="AY34" s="689">
        <f>AY30-AY32</f>
        <v>0.08</v>
      </c>
      <c r="BA34" s="571" t="s">
        <v>133</v>
      </c>
      <c r="BB34" s="689">
        <f>BB30-BB32</f>
        <v>0.08</v>
      </c>
      <c r="BD34" s="571" t="s">
        <v>133</v>
      </c>
      <c r="BE34" s="689">
        <f>BE30-BE32</f>
        <v>0.08</v>
      </c>
      <c r="BG34" s="571" t="s">
        <v>133</v>
      </c>
      <c r="BH34" s="689">
        <f>BH30-BH32</f>
        <v>0.08</v>
      </c>
      <c r="BJ34" s="571" t="s">
        <v>133</v>
      </c>
      <c r="BK34" s="689">
        <f>BK30-BK32</f>
        <v>0.08</v>
      </c>
      <c r="BM34" s="571" t="s">
        <v>133</v>
      </c>
      <c r="BN34" s="689">
        <f>BN30-BN32</f>
        <v>0.08</v>
      </c>
      <c r="BP34" s="571" t="s">
        <v>133</v>
      </c>
      <c r="BQ34" s="689">
        <f>BQ30-BQ32</f>
        <v>0.08</v>
      </c>
      <c r="BS34" s="571" t="s">
        <v>133</v>
      </c>
      <c r="BT34" s="689">
        <f>BT30-BT32</f>
        <v>0.08</v>
      </c>
    </row>
    <row r="35" spans="2:72" x14ac:dyDescent="0.25">
      <c r="B35" s="695"/>
      <c r="C35" s="20" t="s">
        <v>30</v>
      </c>
      <c r="D35" s="62">
        <f>'R4UD_Setup'!F46</f>
        <v>1E-3</v>
      </c>
      <c r="E35" s="230">
        <f>D35*$C$30</f>
        <v>468.86400000000003</v>
      </c>
      <c r="F35" s="698">
        <f>D35*$C$31</f>
        <v>468.86400000000003</v>
      </c>
      <c r="G35" s="699"/>
      <c r="J35" s="694" t="s">
        <v>49</v>
      </c>
      <c r="K35" s="14" t="s">
        <v>40</v>
      </c>
      <c r="L35" s="75">
        <f>IF('R4UD_Ref'!$D$124=1,'R4UD_Setup'!F105,'R4UD_Setup'!F113)</f>
        <v>7.0000000000000001E-3</v>
      </c>
      <c r="N35" s="571"/>
      <c r="O35" s="690"/>
      <c r="Q35" s="571"/>
      <c r="R35" s="690"/>
      <c r="T35" s="571"/>
      <c r="U35" s="690"/>
      <c r="W35" s="571"/>
      <c r="X35" s="690"/>
      <c r="Z35" s="571"/>
      <c r="AA35" s="690"/>
      <c r="AC35" s="571"/>
      <c r="AD35" s="690"/>
      <c r="AF35" s="571"/>
      <c r="AG35" s="690"/>
      <c r="AI35" s="571"/>
      <c r="AJ35" s="690"/>
      <c r="AL35" s="571"/>
      <c r="AM35" s="690"/>
      <c r="AO35" s="571"/>
      <c r="AP35" s="690"/>
      <c r="AR35" s="571"/>
      <c r="AS35" s="690"/>
      <c r="AU35" s="571"/>
      <c r="AV35" s="690"/>
      <c r="AX35" s="571"/>
      <c r="AY35" s="690"/>
      <c r="BA35" s="571"/>
      <c r="BB35" s="690"/>
      <c r="BD35" s="571"/>
      <c r="BE35" s="690"/>
      <c r="BG35" s="571"/>
      <c r="BH35" s="690"/>
      <c r="BJ35" s="571"/>
      <c r="BK35" s="690"/>
      <c r="BM35" s="571"/>
      <c r="BN35" s="690"/>
      <c r="BP35" s="571"/>
      <c r="BQ35" s="690"/>
      <c r="BS35" s="571"/>
      <c r="BT35" s="690"/>
    </row>
    <row r="36" spans="2:72" x14ac:dyDescent="0.25">
      <c r="B36" s="695"/>
      <c r="C36" s="20" t="s">
        <v>31</v>
      </c>
      <c r="D36" s="62">
        <f>'R4UD_Setup'!F47</f>
        <v>0.08</v>
      </c>
      <c r="E36" s="230">
        <f>D36*$C$30</f>
        <v>37509.120000000003</v>
      </c>
      <c r="F36" s="698">
        <f>D36*$C$31</f>
        <v>37509.120000000003</v>
      </c>
      <c r="G36" s="699"/>
      <c r="J36" s="694"/>
      <c r="K36" s="14" t="s">
        <v>54</v>
      </c>
      <c r="L36" s="75">
        <f>IF('R4UD_Ref'!$D$124=1,'R4UD_Setup'!F106,'R4UD_Setup'!F114)</f>
        <v>3.4000000000000002E-2</v>
      </c>
      <c r="N36" s="18" t="s">
        <v>118</v>
      </c>
      <c r="O36" s="81">
        <f>IF(O34&gt;=0.02,1.06+3*(O34-0.02),IF(O34&gt;=0.01,1+6*(O34-0.01),1))</f>
        <v>1.024</v>
      </c>
      <c r="Q36" s="18" t="s">
        <v>118</v>
      </c>
      <c r="R36" s="81">
        <f>IF(R34&gt;=0.02,1.06+3*(R34-0.02),IF(R34&gt;=0.01,1+6*(R34-0.01),1))</f>
        <v>1.024</v>
      </c>
      <c r="T36" s="18" t="s">
        <v>118</v>
      </c>
      <c r="U36" s="81">
        <f>IF(U24&lt;&gt;0,IF(U34&gt;=0.02,1.06+3*(U34-0.02),IF(U34&gt;=0.01,1+6*(U34-0.01),1)),1)</f>
        <v>1.1500000000000001</v>
      </c>
      <c r="W36" s="18" t="s">
        <v>118</v>
      </c>
      <c r="X36" s="81">
        <f>IF(X24&lt;&gt;0,IF(X34&gt;=0.02,1.06+3*(X34-0.02),IF(X34&gt;=0.01,1+6*(X34-0.01),1)),1)</f>
        <v>1</v>
      </c>
      <c r="Z36" s="18" t="s">
        <v>118</v>
      </c>
      <c r="AA36" s="81">
        <f>IF(AA24&lt;&gt;0,IF(AA34&gt;=0.02,1.06+3*(AA34-0.02),IF(AA34&gt;=0.01,1+6*(AA34-0.01),1)),1)</f>
        <v>1.135</v>
      </c>
      <c r="AC36" s="18" t="s">
        <v>118</v>
      </c>
      <c r="AD36" s="81">
        <f>IF(AD24&lt;&gt;0,IF(AD34&gt;=0.02,1.06+3*(AD34-0.02),IF(AD34&gt;=0.01,1+6*(AD34-0.01),1)),1)</f>
        <v>1</v>
      </c>
      <c r="AF36" s="18" t="s">
        <v>118</v>
      </c>
      <c r="AG36" s="81">
        <f>IF(AG24&lt;&gt;0,IF(AG34&gt;=0.02,1.06+3*(AG34-0.02),IF(AG34&gt;=0.01,1+6*(AG34-0.01),1)),1)</f>
        <v>1.0900000000000001</v>
      </c>
      <c r="AI36" s="18" t="s">
        <v>118</v>
      </c>
      <c r="AJ36" s="81">
        <f>IF(AJ24&lt;&gt;0,IF(AJ34&gt;=0.02,1.06+3*(AJ34-0.02),IF(AJ34&gt;=0.01,1+6*(AJ34-0.01),1)),1)</f>
        <v>1</v>
      </c>
      <c r="AL36" s="18" t="s">
        <v>118</v>
      </c>
      <c r="AM36" s="81">
        <f>IF(AM24&lt;&gt;0,IF(AM34&gt;=0.02,1.06+3*(AM34-0.02),IF(AM34&gt;=0.01,1+6*(AM34-0.01),1)),1)</f>
        <v>1</v>
      </c>
      <c r="AO36" s="18" t="s">
        <v>118</v>
      </c>
      <c r="AP36" s="81">
        <f>IF(AP24&lt;&gt;0,IF(AP34&gt;=0.02,1.06+3*(AP34-0.02),IF(AP34&gt;=0.01,1+6*(AP34-0.01),1)),1)</f>
        <v>1</v>
      </c>
      <c r="AR36" s="18" t="s">
        <v>118</v>
      </c>
      <c r="AS36" s="81">
        <f>IF(AS24&lt;&gt;0,IF(AS34&gt;=0.02,1.06+3*(AS34-0.02),IF(AS34&gt;=0.01,1+6*(AS34-0.01),1)),1)</f>
        <v>1</v>
      </c>
      <c r="AU36" s="18" t="s">
        <v>118</v>
      </c>
      <c r="AV36" s="81">
        <f>IF(AV24&lt;&gt;0,IF(AV34&gt;=0.02,1.06+3*(AV34-0.02),IF(AV34&gt;=0.01,1+6*(AV34-0.01),1)),1)</f>
        <v>1</v>
      </c>
      <c r="AX36" s="18" t="s">
        <v>118</v>
      </c>
      <c r="AY36" s="81">
        <f>IF(AY24&lt;&gt;0,IF(AY34&gt;=0.02,1.06+3*(AY34-0.02),IF(AY34&gt;=0.01,1+6*(AY34-0.01),1)),1)</f>
        <v>1</v>
      </c>
      <c r="BA36" s="18" t="s">
        <v>118</v>
      </c>
      <c r="BB36" s="81">
        <f>IF(BB24&lt;&gt;0,IF(BB34&gt;=0.02,1.06+3*(BB34-0.02),IF(BB34&gt;=0.01,1+6*(BB34-0.01),1)),1)</f>
        <v>1</v>
      </c>
      <c r="BD36" s="18" t="s">
        <v>118</v>
      </c>
      <c r="BE36" s="81">
        <f>IF(BE24&lt;&gt;0,IF(BE34&gt;=0.02,1.06+3*(BE34-0.02),IF(BE34&gt;=0.01,1+6*(BE34-0.01),1)),1)</f>
        <v>1</v>
      </c>
      <c r="BG36" s="18" t="s">
        <v>118</v>
      </c>
      <c r="BH36" s="81">
        <f>IF(BH24&lt;&gt;0,IF(BH34&gt;=0.02,1.06+3*(BH34-0.02),IF(BH34&gt;=0.01,1+6*(BH34-0.01),1)),1)</f>
        <v>1</v>
      </c>
      <c r="BJ36" s="18" t="s">
        <v>118</v>
      </c>
      <c r="BK36" s="81">
        <f>IF(BK24&lt;&gt;0,IF(BK34&gt;=0.02,1.06+3*(BK34-0.02),IF(BK34&gt;=0.01,1+6*(BK34-0.01),1)),1)</f>
        <v>1</v>
      </c>
      <c r="BM36" s="18" t="s">
        <v>118</v>
      </c>
      <c r="BN36" s="81">
        <f>IF(BN24&lt;&gt;0,IF(BN34&gt;=0.02,1.06+3*(BN34-0.02),IF(BN34&gt;=0.01,1+6*(BN34-0.01),1)),1)</f>
        <v>1</v>
      </c>
      <c r="BP36" s="18" t="s">
        <v>118</v>
      </c>
      <c r="BQ36" s="81">
        <f>IF(BQ24&lt;&gt;0,IF(BQ34&gt;=0.02,1.06+3*(BQ34-0.02),IF(BQ34&gt;=0.01,1+6*(BQ34-0.01),1)),1)</f>
        <v>1</v>
      </c>
      <c r="BS36" s="18" t="s">
        <v>118</v>
      </c>
      <c r="BT36" s="81">
        <f>IF(BT24&lt;&gt;0,IF(BT34&gt;=0.02,1.06+3*(BT34-0.02),IF(BT34&gt;=0.01,1+6*(BT34-0.01),1)),1)</f>
        <v>1</v>
      </c>
    </row>
    <row r="37" spans="2:72" x14ac:dyDescent="0.25">
      <c r="B37" s="695"/>
      <c r="C37" s="20" t="s">
        <v>99</v>
      </c>
      <c r="D37" s="62">
        <f>'R4UD_Setup'!D48</f>
        <v>0.05</v>
      </c>
      <c r="E37" s="230">
        <f>D37*$C$30</f>
        <v>23443.200000000001</v>
      </c>
      <c r="F37" s="698">
        <f>D37*$C$31</f>
        <v>23443.200000000001</v>
      </c>
      <c r="G37" s="699"/>
      <c r="J37" s="694"/>
      <c r="K37" s="14" t="s">
        <v>42</v>
      </c>
      <c r="L37" s="75">
        <f>IF('R4UD_Ref'!$D$124=1,'R4UD_Setup'!F107,'R4UD_Setup'!F115)</f>
        <v>9.2999999999999999E-2</v>
      </c>
    </row>
    <row r="38" spans="2:72" x14ac:dyDescent="0.25">
      <c r="J38" s="694"/>
      <c r="K38" s="14" t="s">
        <v>43</v>
      </c>
      <c r="L38" s="75">
        <f>IF('R4UD_Ref'!$D$124=1,'R4UD_Setup'!F108,'R4UD_Setup'!F116)</f>
        <v>7.9000000000000001E-2</v>
      </c>
      <c r="N38" s="565" t="s">
        <v>232</v>
      </c>
      <c r="O38" s="565"/>
      <c r="P38" s="565"/>
      <c r="Q38" s="565"/>
      <c r="R38" s="565"/>
    </row>
    <row r="39" spans="2:72" x14ac:dyDescent="0.25">
      <c r="B39" s="24" t="s">
        <v>292</v>
      </c>
      <c r="C39" s="230">
        <f>C30+SUM($E$34:$E$37)</f>
        <v>532160.64</v>
      </c>
      <c r="J39" s="694"/>
      <c r="K39" s="14" t="s">
        <v>44</v>
      </c>
      <c r="L39" s="75">
        <f>IF('R4UD_Ref'!$D$124=1,'R4UD_Setup'!F109,'R4UD_Setup'!F117)</f>
        <v>0.78700000000000003</v>
      </c>
      <c r="N39" s="691" t="s">
        <v>129</v>
      </c>
      <c r="O39" s="691"/>
      <c r="Q39" s="691" t="s">
        <v>130</v>
      </c>
      <c r="R39" s="691"/>
      <c r="W39" s="122"/>
    </row>
    <row r="40" spans="2:72" x14ac:dyDescent="0.25">
      <c r="B40" s="24" t="s">
        <v>293</v>
      </c>
      <c r="C40" s="230">
        <f>C31+SUM($F$34:$F$37)</f>
        <v>532160.64</v>
      </c>
      <c r="J40" s="695" t="s">
        <v>111</v>
      </c>
      <c r="K40" s="15" t="s">
        <v>34</v>
      </c>
      <c r="L40" s="76">
        <f>'R4UD_Setup'!F52</f>
        <v>20</v>
      </c>
      <c r="N40" s="13" t="s">
        <v>175</v>
      </c>
      <c r="O40" s="1" t="str">
        <f>'R4UD_Ref'!E108</f>
        <v>1V:2H</v>
      </c>
      <c r="Q40" s="13" t="s">
        <v>175</v>
      </c>
      <c r="R40" s="1" t="str">
        <f>'R4UD_Ref'!N10</f>
        <v>1V:2H</v>
      </c>
    </row>
    <row r="41" spans="2:72" x14ac:dyDescent="0.25">
      <c r="B41" s="5"/>
      <c r="J41" s="695"/>
      <c r="K41" s="15" t="s">
        <v>35</v>
      </c>
      <c r="L41" s="76">
        <f>'R4UD_Setup'!F52</f>
        <v>20</v>
      </c>
      <c r="N41" s="18" t="s">
        <v>118</v>
      </c>
      <c r="O41" s="81">
        <f>VLOOKUP(O40,'R4UD_Ref'!$A$176:$B$179,2)</f>
        <v>1.18</v>
      </c>
      <c r="Q41" s="18" t="s">
        <v>118</v>
      </c>
      <c r="R41" s="81">
        <f>VLOOKUP(R40,'R4UD_Ref'!$A$176:$B$179,2)</f>
        <v>1.18</v>
      </c>
    </row>
    <row r="42" spans="2:72" x14ac:dyDescent="0.25">
      <c r="B42" s="23" t="s">
        <v>296</v>
      </c>
      <c r="C42" s="230">
        <f>C39-$H$4-$H$5-$E$37-SUM(D34:D36)*SUM(H4:H5)+H28</f>
        <v>1.4551915228366852E-11</v>
      </c>
      <c r="J42" s="695"/>
      <c r="K42" s="15" t="s">
        <v>36</v>
      </c>
      <c r="L42" s="76">
        <f>'R4UD_Setup'!F52</f>
        <v>20</v>
      </c>
    </row>
    <row r="43" spans="2:72" x14ac:dyDescent="0.25">
      <c r="B43" s="23" t="s">
        <v>297</v>
      </c>
      <c r="C43" s="230">
        <f>C40-$H$4-$H$5-$F$37-SUM(D34:D36)*(IF('R4UD_Setup'!F52=20,SUM('R4UD_Calculations'!H4:H5),IF('R4UD_Setup'!F52=10,SUM('R4UD_Calculations'!H4:H5)+SUM('R4UD_Calculations'!H4:H5)*(1+'R4UD_Setup'!F50)^(-10),SUM('R4UD_Calculations'!H4:H5)+SUM('R4UD_Calculations'!H4:H5)*(1+'R4UD_Setup'!F50)^(-5)+SUM('R4UD_Calculations'!H4:H5)*(1+'R4UD_Setup'!F50)^(-10)+SUM('R4UD_Calculations'!H4:H5)*(1+'R4UD_Setup'!F50)^(-15))))+H28</f>
        <v>1.4551915228366852E-11</v>
      </c>
      <c r="J43" s="695"/>
      <c r="K43" s="15" t="s">
        <v>37</v>
      </c>
      <c r="L43" s="76">
        <f>'R4UD_Setup'!F55</f>
        <v>20</v>
      </c>
      <c r="N43" s="565" t="s">
        <v>136</v>
      </c>
      <c r="O43" s="565"/>
      <c r="P43" s="565"/>
      <c r="Q43" s="565"/>
      <c r="R43" s="565"/>
    </row>
    <row r="44" spans="2:72" x14ac:dyDescent="0.25">
      <c r="B44" t="s">
        <v>726</v>
      </c>
      <c r="J44" s="695"/>
      <c r="K44" s="15" t="s">
        <v>38</v>
      </c>
      <c r="L44" s="76">
        <f>'R4UD_Setup'!F56</f>
        <v>5</v>
      </c>
      <c r="N44" s="691" t="s">
        <v>129</v>
      </c>
      <c r="O44" s="691"/>
      <c r="Q44" s="691" t="s">
        <v>130</v>
      </c>
      <c r="R44" s="691"/>
    </row>
    <row r="45" spans="2:72" x14ac:dyDescent="0.25">
      <c r="J45" s="695"/>
      <c r="K45" s="22" t="s">
        <v>39</v>
      </c>
      <c r="L45" s="76">
        <f>'R4UD_Setup'!F57</f>
        <v>20</v>
      </c>
      <c r="N45" s="13" t="s">
        <v>137</v>
      </c>
      <c r="O45" s="1" t="str">
        <f>IF('R4UD_Ref'!D124=1,IF('R4UD_Ref'!C111=1,"Yes","No"),"No")</f>
        <v>No</v>
      </c>
      <c r="Q45" s="13" t="s">
        <v>137</v>
      </c>
      <c r="R45" s="1" t="str">
        <f>IF('R4UD_Ref'!D124=1,IF('R4UD_Ref'!N11=1,"Yes","No"),"No")</f>
        <v>No</v>
      </c>
    </row>
    <row r="46" spans="2:72" x14ac:dyDescent="0.25">
      <c r="J46" s="694" t="s">
        <v>112</v>
      </c>
      <c r="K46" s="15" t="s">
        <v>222</v>
      </c>
      <c r="L46" s="232">
        <f>'R4UD_Setup'!F59</f>
        <v>1571053</v>
      </c>
      <c r="N46" s="18" t="s">
        <v>118</v>
      </c>
      <c r="O46" s="81">
        <f>IF(O45="Yes",0.94,1)</f>
        <v>1</v>
      </c>
      <c r="Q46" s="18" t="s">
        <v>118</v>
      </c>
      <c r="R46" s="81">
        <f>IF(R45="Yes",0.94,1)</f>
        <v>1</v>
      </c>
    </row>
    <row r="47" spans="2:72" x14ac:dyDescent="0.25">
      <c r="J47" s="694"/>
      <c r="K47" s="15" t="s">
        <v>233</v>
      </c>
      <c r="L47" s="232">
        <f>'R4UD_Setup'!F60</f>
        <v>1571053</v>
      </c>
    </row>
    <row r="48" spans="2:72" x14ac:dyDescent="0.25">
      <c r="J48" s="694"/>
      <c r="K48" s="15" t="s">
        <v>224</v>
      </c>
      <c r="L48" s="232">
        <f>'R4UD_Setup'!F61</f>
        <v>128959</v>
      </c>
      <c r="N48" s="565" t="s">
        <v>138</v>
      </c>
      <c r="O48" s="565"/>
      <c r="P48" s="565"/>
      <c r="Q48" s="565"/>
      <c r="R48" s="565"/>
    </row>
    <row r="49" spans="10:18" x14ac:dyDescent="0.25">
      <c r="J49" s="694"/>
      <c r="K49" s="15" t="s">
        <v>225</v>
      </c>
      <c r="L49" s="232">
        <f>'R4UD_Setup'!F62</f>
        <v>128959</v>
      </c>
      <c r="N49" s="691" t="s">
        <v>129</v>
      </c>
      <c r="O49" s="691"/>
      <c r="Q49" s="691" t="s">
        <v>130</v>
      </c>
      <c r="R49" s="691"/>
    </row>
    <row r="50" spans="10:18" x14ac:dyDescent="0.25">
      <c r="J50" s="694"/>
      <c r="K50" s="15" t="s">
        <v>226</v>
      </c>
      <c r="L50" s="232">
        <f>'R4UD_Setup'!F63</f>
        <v>9624</v>
      </c>
      <c r="N50" s="13" t="s">
        <v>137</v>
      </c>
      <c r="O50" s="1" t="str">
        <f>IF('R4UD_Ref'!C114=1,"Yes","No")</f>
        <v>No</v>
      </c>
      <c r="Q50" s="13" t="s">
        <v>137</v>
      </c>
      <c r="R50" s="1" t="str">
        <f>IF('R4UD_Ref'!N12=1,"Yes","No")</f>
        <v>No</v>
      </c>
    </row>
    <row r="51" spans="10:18" x14ac:dyDescent="0.25">
      <c r="J51" s="293" t="s">
        <v>23</v>
      </c>
      <c r="K51" s="1"/>
      <c r="L51" s="77">
        <f>'R4UD_Setup'!F50</f>
        <v>7.0000000000000007E-2</v>
      </c>
      <c r="N51" s="112" t="s">
        <v>117</v>
      </c>
      <c r="O51" s="113">
        <f>IF('R4UD_Ref'!D124=1,L28,"N/A")</f>
        <v>0.10738926107389259</v>
      </c>
      <c r="Q51" s="112" t="s">
        <v>117</v>
      </c>
      <c r="R51" s="113">
        <f>IF('R4UD_Ref'!D124=1,L28,"N/A")</f>
        <v>0.10738926107389259</v>
      </c>
    </row>
    <row r="52" spans="10:18" ht="15" customHeight="1" x14ac:dyDescent="0.25">
      <c r="J52" s="694" t="str">
        <f>IF('R4UD_Ref'!C19=1,"Expected Before Crash Frequency (EB Methodology)","Predicted Before Crash Frequency (non EB Methodology)")</f>
        <v>Predicted Before Crash Frequency (non EB Methodology)</v>
      </c>
      <c r="K52" s="15" t="s">
        <v>222</v>
      </c>
      <c r="L52" s="228">
        <f>$L$57*L35</f>
        <v>0.12988256689739766</v>
      </c>
      <c r="N52" s="18" t="s">
        <v>118</v>
      </c>
      <c r="O52" s="81">
        <f>IF(O50="Yes",IF('R4UD_Ref'!D124=1,(0.85-1)*O51+1,0.84),1)</f>
        <v>1</v>
      </c>
      <c r="Q52" s="18" t="s">
        <v>118</v>
      </c>
      <c r="R52" s="81">
        <f>IF(R50="Yes",IF('R4UD_Ref'!D124=1,(0.85-1)*R51+1,0.84),1)</f>
        <v>1</v>
      </c>
    </row>
    <row r="53" spans="10:18" x14ac:dyDescent="0.25">
      <c r="J53" s="694"/>
      <c r="K53" s="15" t="s">
        <v>233</v>
      </c>
      <c r="L53" s="228">
        <f t="shared" ref="L53:L56" si="1">$L$57*L36</f>
        <v>0.63085818207307442</v>
      </c>
    </row>
    <row r="54" spans="10:18" x14ac:dyDescent="0.25">
      <c r="J54" s="694"/>
      <c r="K54" s="15" t="s">
        <v>224</v>
      </c>
      <c r="L54" s="228">
        <f t="shared" si="1"/>
        <v>1.7255826744939975</v>
      </c>
      <c r="N54" s="565" t="s">
        <v>284</v>
      </c>
      <c r="O54" s="565"/>
      <c r="P54" s="565"/>
      <c r="Q54" s="565"/>
      <c r="R54" s="565"/>
    </row>
    <row r="55" spans="10:18" x14ac:dyDescent="0.25">
      <c r="J55" s="694"/>
      <c r="K55" s="15" t="s">
        <v>225</v>
      </c>
      <c r="L55" s="228">
        <f t="shared" si="1"/>
        <v>1.4658175406992022</v>
      </c>
      <c r="N55" s="700"/>
      <c r="O55" s="701"/>
      <c r="P55" s="125"/>
      <c r="Q55" s="691" t="s">
        <v>130</v>
      </c>
      <c r="R55" s="691"/>
    </row>
    <row r="56" spans="10:18" x14ac:dyDescent="0.25">
      <c r="J56" s="694"/>
      <c r="K56" s="15" t="s">
        <v>226</v>
      </c>
      <c r="L56" s="228">
        <f t="shared" si="1"/>
        <v>14.602511449750281</v>
      </c>
      <c r="N56" s="7"/>
      <c r="O56" s="7"/>
      <c r="Q56" s="13" t="s">
        <v>137</v>
      </c>
      <c r="R56" s="1" t="str">
        <f>IF('R4UD_Ref'!N13=1,"Yes","No")</f>
        <v>No</v>
      </c>
    </row>
    <row r="57" spans="10:18" x14ac:dyDescent="0.25">
      <c r="J57" s="694"/>
      <c r="K57" s="15" t="s">
        <v>378</v>
      </c>
      <c r="L57" s="370">
        <f>IF('R4UD_Ref'!C19=2,L4*L23*L7*L8*L9*L10*L11*L12*L13,L73)</f>
        <v>18.554652413913953</v>
      </c>
      <c r="N57" s="123"/>
      <c r="O57" s="124"/>
      <c r="P57" s="3"/>
      <c r="Q57" s="18" t="s">
        <v>118</v>
      </c>
      <c r="R57" s="81">
        <f>IF(R56="Yes",IF('R4UD_Ref'!D124=1,0.7,0.86),1)</f>
        <v>1</v>
      </c>
    </row>
    <row r="58" spans="10:18" x14ac:dyDescent="0.25">
      <c r="J58" s="694" t="str">
        <f>IF('R4UD_Ref'!C19=1,"Expected Crash Frequency Reduction (EB Methodology)","Predicted Crash Frequency Reduction (non EB Methodology)")</f>
        <v>Predicted Crash Frequency Reduction (non EB Methodology)</v>
      </c>
      <c r="K58" s="15" t="s">
        <v>222</v>
      </c>
      <c r="L58" s="228">
        <f>$L$63*L35</f>
        <v>0</v>
      </c>
      <c r="N58" s="4"/>
      <c r="O58" s="4"/>
    </row>
    <row r="59" spans="10:18" x14ac:dyDescent="0.25">
      <c r="J59" s="694"/>
      <c r="K59" s="15" t="s">
        <v>233</v>
      </c>
      <c r="L59" s="228">
        <f t="shared" ref="L59:L62" si="2">$L$63*L36</f>
        <v>0</v>
      </c>
    </row>
    <row r="60" spans="10:18" x14ac:dyDescent="0.25">
      <c r="J60" s="694"/>
      <c r="K60" s="15" t="s">
        <v>224</v>
      </c>
      <c r="L60" s="228">
        <f t="shared" si="2"/>
        <v>0</v>
      </c>
    </row>
    <row r="61" spans="10:18" x14ac:dyDescent="0.25">
      <c r="J61" s="694"/>
      <c r="K61" s="15" t="s">
        <v>225</v>
      </c>
      <c r="L61" s="228">
        <f t="shared" si="2"/>
        <v>0</v>
      </c>
    </row>
    <row r="62" spans="10:18" x14ac:dyDescent="0.25">
      <c r="J62" s="694"/>
      <c r="K62" s="15" t="s">
        <v>226</v>
      </c>
      <c r="L62" s="228">
        <f t="shared" si="2"/>
        <v>0</v>
      </c>
    </row>
    <row r="63" spans="10:18" x14ac:dyDescent="0.25">
      <c r="J63" s="694"/>
      <c r="K63" s="15" t="s">
        <v>378</v>
      </c>
      <c r="L63" s="370">
        <f>IF('R4UD_Ref'!C19=2,L4*L23*(L7*L8*L9*L10*L11*L12*L13-L15*L16*L17*L18*L19*L20*L21*L22),L74)</f>
        <v>0</v>
      </c>
    </row>
    <row r="64" spans="10:18" x14ac:dyDescent="0.25">
      <c r="J64" s="694" t="str">
        <f>IF('R4UD_Ref'!C19=1,"Expected After Crash Frequency (EB Methodology)","Predicted After Crash Frequency (non EB Methodology)")</f>
        <v>Predicted After Crash Frequency (non EB Methodology)</v>
      </c>
      <c r="K64" s="15" t="s">
        <v>222</v>
      </c>
      <c r="L64" s="228">
        <f>L52-L58</f>
        <v>0.12988256689739766</v>
      </c>
    </row>
    <row r="65" spans="10:12" x14ac:dyDescent="0.25">
      <c r="J65" s="694"/>
      <c r="K65" s="15" t="s">
        <v>233</v>
      </c>
      <c r="L65" s="228">
        <f t="shared" ref="L65:L69" si="3">L53-L59</f>
        <v>0.63085818207307442</v>
      </c>
    </row>
    <row r="66" spans="10:12" x14ac:dyDescent="0.25">
      <c r="J66" s="694"/>
      <c r="K66" s="15" t="s">
        <v>224</v>
      </c>
      <c r="L66" s="228">
        <f t="shared" si="3"/>
        <v>1.7255826744939975</v>
      </c>
    </row>
    <row r="67" spans="10:12" x14ac:dyDescent="0.25">
      <c r="J67" s="694"/>
      <c r="K67" s="15" t="s">
        <v>225</v>
      </c>
      <c r="L67" s="228">
        <f t="shared" si="3"/>
        <v>1.4658175406992022</v>
      </c>
    </row>
    <row r="68" spans="10:12" x14ac:dyDescent="0.25">
      <c r="J68" s="694"/>
      <c r="K68" s="15" t="s">
        <v>226</v>
      </c>
      <c r="L68" s="228">
        <f t="shared" si="3"/>
        <v>14.602511449750281</v>
      </c>
    </row>
    <row r="69" spans="10:12" x14ac:dyDescent="0.25">
      <c r="J69" s="694"/>
      <c r="K69" s="15" t="s">
        <v>378</v>
      </c>
      <c r="L69" s="228">
        <f t="shared" si="3"/>
        <v>18.554652413913953</v>
      </c>
    </row>
    <row r="71" spans="10:12" x14ac:dyDescent="0.25">
      <c r="J71" s="560" t="s">
        <v>326</v>
      </c>
      <c r="K71" s="1" t="s">
        <v>328</v>
      </c>
      <c r="L71" s="228">
        <f>L4*L23*L7*L8*L9*L10*L11*L12*L13</f>
        <v>18.554652413913953</v>
      </c>
    </row>
    <row r="72" spans="10:12" x14ac:dyDescent="0.25">
      <c r="J72" s="561"/>
      <c r="K72" s="1" t="s">
        <v>327</v>
      </c>
      <c r="L72" s="227">
        <f>IF('R4UD_Ref'!D124=1,1/(1+IF('R4UD_Ref'!E67=1,1/EXP(1.675+LN('R4UD_Project'!C5)),'R4UD_Setup'!I72)*'R4UD_Calculations'!L71*'R4UD_Project'!G24),1/(1+IF('R4UD_Ref'!G67=1,1/EXP(1.549+LN('R4UD_Project'!C5)),'R4UD_Setup'!I79)*'R4UD_Calculations'!L71*'R4UD_Project'!G24))</f>
        <v>0.16094876731246574</v>
      </c>
    </row>
    <row r="73" spans="10:12" x14ac:dyDescent="0.25">
      <c r="J73" s="561"/>
      <c r="K73" s="1" t="s">
        <v>329</v>
      </c>
      <c r="L73" s="228">
        <f>(L72*L71+(1-L72)*SUM('R4UD_Project'!G25:G26))/'R4UD_Project'!G24</f>
        <v>0.99544947797690586</v>
      </c>
    </row>
    <row r="74" spans="10:12" x14ac:dyDescent="0.25">
      <c r="J74" s="563"/>
      <c r="K74" s="1" t="s">
        <v>330</v>
      </c>
      <c r="L74" s="228">
        <f>(1-L15/L7*L16/L8*L17/L9*L18/L10*L19/L11*L20/L12*L21/L13*L22)*L73</f>
        <v>0</v>
      </c>
    </row>
    <row r="75" spans="10:12" x14ac:dyDescent="0.25">
      <c r="L75" s="71"/>
    </row>
    <row r="76" spans="10:12" x14ac:dyDescent="0.25">
      <c r="J76" s="693" t="s">
        <v>285</v>
      </c>
      <c r="K76" s="693"/>
      <c r="L76" s="231">
        <f>IF('R4UD_Ref'!C19=2,L4*L23*(L7*L8*L9*L10*L11*L12*L13-L15*L16*L17*L18*L19*L20*L21*L22),'R4UD_Calculations'!L74)*(L35*L46+L36*L47+L37*L48+L38*L49+L39*L50)</f>
        <v>0</v>
      </c>
    </row>
    <row r="100" spans="2:3" x14ac:dyDescent="0.25">
      <c r="B100" t="s">
        <v>319</v>
      </c>
      <c r="C100">
        <f>'R4UD_Ref'!C19</f>
        <v>2</v>
      </c>
    </row>
    <row r="101" spans="2:3" x14ac:dyDescent="0.25">
      <c r="B101" t="s">
        <v>337</v>
      </c>
      <c r="C101">
        <f>'R4UD_Ref'!C7</f>
        <v>2</v>
      </c>
    </row>
    <row r="102" spans="2:3" x14ac:dyDescent="0.25">
      <c r="B102" t="s">
        <v>338</v>
      </c>
      <c r="C102">
        <f>'R4UD_Project'!M15</f>
        <v>1</v>
      </c>
    </row>
  </sheetData>
  <mergeCells count="221">
    <mergeCell ref="J64:J69"/>
    <mergeCell ref="BJ32:BJ33"/>
    <mergeCell ref="BK32:BK33"/>
    <mergeCell ref="BM32:BM33"/>
    <mergeCell ref="BN32:BN33"/>
    <mergeCell ref="BP34:BP35"/>
    <mergeCell ref="BQ34:BQ35"/>
    <mergeCell ref="BA32:BA33"/>
    <mergeCell ref="BB32:BB33"/>
    <mergeCell ref="BD34:BD35"/>
    <mergeCell ref="BE34:BE35"/>
    <mergeCell ref="BG34:BG35"/>
    <mergeCell ref="BH34:BH35"/>
    <mergeCell ref="BK34:BK35"/>
    <mergeCell ref="BM34:BM35"/>
    <mergeCell ref="BN34:BN35"/>
    <mergeCell ref="AR34:AR35"/>
    <mergeCell ref="AS34:AS35"/>
    <mergeCell ref="AU34:AU35"/>
    <mergeCell ref="AV34:AV35"/>
    <mergeCell ref="AY34:AY35"/>
    <mergeCell ref="BA34:BA35"/>
    <mergeCell ref="Z32:Z33"/>
    <mergeCell ref="AA32:AA33"/>
    <mergeCell ref="BP32:BP33"/>
    <mergeCell ref="BQ32:BQ33"/>
    <mergeCell ref="BS32:BS33"/>
    <mergeCell ref="BT32:BT33"/>
    <mergeCell ref="J52:J57"/>
    <mergeCell ref="J58:J63"/>
    <mergeCell ref="BD32:BD33"/>
    <mergeCell ref="BE32:BE33"/>
    <mergeCell ref="BG32:BG33"/>
    <mergeCell ref="BH32:BH33"/>
    <mergeCell ref="BJ34:BJ35"/>
    <mergeCell ref="BS34:BS35"/>
    <mergeCell ref="BT34:BT35"/>
    <mergeCell ref="BB34:BB35"/>
    <mergeCell ref="AX32:AX33"/>
    <mergeCell ref="AY32:AY33"/>
    <mergeCell ref="AR32:AR33"/>
    <mergeCell ref="AS32:AS33"/>
    <mergeCell ref="AU32:AU33"/>
    <mergeCell ref="AV32:AV33"/>
    <mergeCell ref="AX34:AX35"/>
    <mergeCell ref="AC32:AC33"/>
    <mergeCell ref="AD32:AD33"/>
    <mergeCell ref="U34:U35"/>
    <mergeCell ref="BP21:BT21"/>
    <mergeCell ref="BP22:BQ22"/>
    <mergeCell ref="BS22:BT22"/>
    <mergeCell ref="BP28:BT28"/>
    <mergeCell ref="BP29:BQ29"/>
    <mergeCell ref="BS29:BT29"/>
    <mergeCell ref="BJ30:BJ31"/>
    <mergeCell ref="BK30:BK31"/>
    <mergeCell ref="BM30:BM31"/>
    <mergeCell ref="BN30:BN31"/>
    <mergeCell ref="BJ21:BN21"/>
    <mergeCell ref="BJ22:BK22"/>
    <mergeCell ref="BM22:BN22"/>
    <mergeCell ref="BJ28:BN28"/>
    <mergeCell ref="BJ29:BK29"/>
    <mergeCell ref="BM29:BN29"/>
    <mergeCell ref="BP30:BP31"/>
    <mergeCell ref="BQ30:BQ31"/>
    <mergeCell ref="BS30:BS31"/>
    <mergeCell ref="BT30:BT31"/>
    <mergeCell ref="AR30:AR31"/>
    <mergeCell ref="AS30:AS31"/>
    <mergeCell ref="AU30:AU31"/>
    <mergeCell ref="AV30:AV31"/>
    <mergeCell ref="BD21:BH21"/>
    <mergeCell ref="BD22:BE22"/>
    <mergeCell ref="BG22:BH22"/>
    <mergeCell ref="BD28:BH28"/>
    <mergeCell ref="BD29:BE29"/>
    <mergeCell ref="BG29:BH29"/>
    <mergeCell ref="AX30:AX31"/>
    <mergeCell ref="AY30:AY31"/>
    <mergeCell ref="BA30:BA31"/>
    <mergeCell ref="BB30:BB31"/>
    <mergeCell ref="AX21:BB21"/>
    <mergeCell ref="AX22:AY22"/>
    <mergeCell ref="BA22:BB22"/>
    <mergeCell ref="AX28:BB28"/>
    <mergeCell ref="AX29:AY29"/>
    <mergeCell ref="BA29:BB29"/>
    <mergeCell ref="BD30:BD31"/>
    <mergeCell ref="BE30:BE31"/>
    <mergeCell ref="BG30:BG31"/>
    <mergeCell ref="BH30:BH31"/>
    <mergeCell ref="AL21:AP21"/>
    <mergeCell ref="AL22:AM22"/>
    <mergeCell ref="AO22:AP22"/>
    <mergeCell ref="AL28:AP28"/>
    <mergeCell ref="AL29:AM29"/>
    <mergeCell ref="AO29:AP29"/>
    <mergeCell ref="AR21:AV21"/>
    <mergeCell ref="AR22:AS22"/>
    <mergeCell ref="AU22:AV22"/>
    <mergeCell ref="AR28:AV28"/>
    <mergeCell ref="AR29:AS29"/>
    <mergeCell ref="AU29:AV29"/>
    <mergeCell ref="AF32:AF33"/>
    <mergeCell ref="AG32:AG33"/>
    <mergeCell ref="AA30:AA31"/>
    <mergeCell ref="AC30:AC31"/>
    <mergeCell ref="AD30:AD31"/>
    <mergeCell ref="AL30:AL31"/>
    <mergeCell ref="AM30:AM31"/>
    <mergeCell ref="AO30:AO31"/>
    <mergeCell ref="AP30:AP31"/>
    <mergeCell ref="AL34:AL35"/>
    <mergeCell ref="AM34:AM35"/>
    <mergeCell ref="AO34:AO35"/>
    <mergeCell ref="AP34:AP35"/>
    <mergeCell ref="AL32:AL33"/>
    <mergeCell ref="AM32:AM33"/>
    <mergeCell ref="AO32:AO33"/>
    <mergeCell ref="AP32:AP33"/>
    <mergeCell ref="AG30:AG31"/>
    <mergeCell ref="AI30:AI31"/>
    <mergeCell ref="AJ30:AJ31"/>
    <mergeCell ref="AI32:AI33"/>
    <mergeCell ref="AJ32:AJ33"/>
    <mergeCell ref="W34:W35"/>
    <mergeCell ref="X34:X35"/>
    <mergeCell ref="AF21:AJ21"/>
    <mergeCell ref="AF22:AG22"/>
    <mergeCell ref="AI22:AJ22"/>
    <mergeCell ref="AF28:AJ28"/>
    <mergeCell ref="AF29:AG29"/>
    <mergeCell ref="AI29:AJ29"/>
    <mergeCell ref="Z21:AD21"/>
    <mergeCell ref="Z22:AA22"/>
    <mergeCell ref="AC22:AD22"/>
    <mergeCell ref="Z28:AD28"/>
    <mergeCell ref="Z29:AA29"/>
    <mergeCell ref="AC29:AD29"/>
    <mergeCell ref="AF34:AF35"/>
    <mergeCell ref="AG34:AG35"/>
    <mergeCell ref="AI34:AI35"/>
    <mergeCell ref="AJ34:AJ35"/>
    <mergeCell ref="Z34:Z35"/>
    <mergeCell ref="AA34:AA35"/>
    <mergeCell ref="AC34:AC35"/>
    <mergeCell ref="AD34:AD35"/>
    <mergeCell ref="AF30:AF31"/>
    <mergeCell ref="Z30:Z31"/>
    <mergeCell ref="U30:U31"/>
    <mergeCell ref="W30:W31"/>
    <mergeCell ref="X30:X31"/>
    <mergeCell ref="J71:J74"/>
    <mergeCell ref="T21:X21"/>
    <mergeCell ref="T22:U22"/>
    <mergeCell ref="W22:X22"/>
    <mergeCell ref="N28:R28"/>
    <mergeCell ref="N29:O29"/>
    <mergeCell ref="Q29:R29"/>
    <mergeCell ref="T28:X28"/>
    <mergeCell ref="T29:U29"/>
    <mergeCell ref="W29:X29"/>
    <mergeCell ref="N49:O49"/>
    <mergeCell ref="J46:J50"/>
    <mergeCell ref="N48:R48"/>
    <mergeCell ref="T32:T33"/>
    <mergeCell ref="U32:U33"/>
    <mergeCell ref="W32:W33"/>
    <mergeCell ref="X32:X33"/>
    <mergeCell ref="Q30:Q31"/>
    <mergeCell ref="R30:R31"/>
    <mergeCell ref="Q32:Q33"/>
    <mergeCell ref="R32:R33"/>
    <mergeCell ref="Q34:Q35"/>
    <mergeCell ref="O32:O33"/>
    <mergeCell ref="N34:N35"/>
    <mergeCell ref="O34:O35"/>
    <mergeCell ref="N39:O39"/>
    <mergeCell ref="J35:J39"/>
    <mergeCell ref="J40:J45"/>
    <mergeCell ref="N38:R38"/>
    <mergeCell ref="T30:T31"/>
    <mergeCell ref="T34:T35"/>
    <mergeCell ref="F36:G36"/>
    <mergeCell ref="F37:G37"/>
    <mergeCell ref="B18:B27"/>
    <mergeCell ref="R34:R35"/>
    <mergeCell ref="Q39:R39"/>
    <mergeCell ref="J76:K76"/>
    <mergeCell ref="N22:O22"/>
    <mergeCell ref="N30:N31"/>
    <mergeCell ref="O30:O31"/>
    <mergeCell ref="N32:N33"/>
    <mergeCell ref="N54:R54"/>
    <mergeCell ref="N55:O55"/>
    <mergeCell ref="Q55:R55"/>
    <mergeCell ref="Q49:R49"/>
    <mergeCell ref="B34:B37"/>
    <mergeCell ref="F33:G33"/>
    <mergeCell ref="F34:G34"/>
    <mergeCell ref="F35:G35"/>
    <mergeCell ref="J15:J22"/>
    <mergeCell ref="J24:J34"/>
    <mergeCell ref="N43:R43"/>
    <mergeCell ref="N44:O44"/>
    <mergeCell ref="Q44:R44"/>
    <mergeCell ref="Q22:R22"/>
    <mergeCell ref="B3:C3"/>
    <mergeCell ref="N3:R3"/>
    <mergeCell ref="Q4:R4"/>
    <mergeCell ref="N11:R11"/>
    <mergeCell ref="Q12:R12"/>
    <mergeCell ref="N21:R21"/>
    <mergeCell ref="J3:K3"/>
    <mergeCell ref="N4:O4"/>
    <mergeCell ref="N12:O12"/>
    <mergeCell ref="J4:J6"/>
    <mergeCell ref="B4:B12"/>
    <mergeCell ref="B14:B15"/>
    <mergeCell ref="J7:J14"/>
  </mergeCells>
  <conditionalFormatting sqref="T21:BT36">
    <cfRule type="expression" dxfId="455" priority="152">
      <formula>$C$101=1</formula>
    </cfRule>
  </conditionalFormatting>
  <conditionalFormatting sqref="AF21:AJ36">
    <cfRule type="expression" dxfId="454" priority="151">
      <formula>$C$102&lt;4</formula>
    </cfRule>
  </conditionalFormatting>
  <conditionalFormatting sqref="Z21:AD36">
    <cfRule type="expression" dxfId="453" priority="150">
      <formula>$C$102&lt;3</formula>
    </cfRule>
  </conditionalFormatting>
  <conditionalFormatting sqref="T21:X36">
    <cfRule type="expression" dxfId="452" priority="149">
      <formula>$C$102&lt;2</formula>
    </cfRule>
  </conditionalFormatting>
  <conditionalFormatting sqref="AL21:AP36">
    <cfRule type="expression" dxfId="451" priority="143">
      <formula>$C$102&lt;5</formula>
    </cfRule>
  </conditionalFormatting>
  <conditionalFormatting sqref="AR21:AV36">
    <cfRule type="expression" dxfId="450" priority="148">
      <formula>$C$102&lt;6</formula>
    </cfRule>
  </conditionalFormatting>
  <conditionalFormatting sqref="AX21:BB36">
    <cfRule type="expression" dxfId="449" priority="147">
      <formula>$C$102&lt;7</formula>
    </cfRule>
  </conditionalFormatting>
  <conditionalFormatting sqref="BD21:BH36">
    <cfRule type="expression" dxfId="448" priority="146">
      <formula>$C$102&lt;8</formula>
    </cfRule>
  </conditionalFormatting>
  <conditionalFormatting sqref="BJ21:BN36">
    <cfRule type="expression" dxfId="447" priority="145">
      <formula>$C$102&lt;9</formula>
    </cfRule>
  </conditionalFormatting>
  <conditionalFormatting sqref="BP21:BT36">
    <cfRule type="expression" dxfId="446" priority="144">
      <formula>$C$102&lt;10</formula>
    </cfRule>
  </conditionalFormatting>
  <conditionalFormatting sqref="N28:R29 N32:R36 N30:N31 P30:Q31">
    <cfRule type="expression" dxfId="445" priority="142">
      <formula>$C$101=1</formula>
    </cfRule>
  </conditionalFormatting>
  <conditionalFormatting sqref="X24:X25">
    <cfRule type="expression" dxfId="444" priority="141">
      <formula>$C$101=1</formula>
    </cfRule>
  </conditionalFormatting>
  <conditionalFormatting sqref="X24:X25">
    <cfRule type="expression" dxfId="443" priority="140">
      <formula>$C$102&lt;2</formula>
    </cfRule>
  </conditionalFormatting>
  <conditionalFormatting sqref="AA24:AA25">
    <cfRule type="expression" dxfId="442" priority="139">
      <formula>$C$101=1</formula>
    </cfRule>
  </conditionalFormatting>
  <conditionalFormatting sqref="AA24:AA25">
    <cfRule type="expression" dxfId="441" priority="138">
      <formula>$C$102&lt;2</formula>
    </cfRule>
  </conditionalFormatting>
  <conditionalFormatting sqref="AD24:AD25">
    <cfRule type="expression" dxfId="440" priority="137">
      <formula>$C$101=1</formula>
    </cfRule>
  </conditionalFormatting>
  <conditionalFormatting sqref="AD24:AD25">
    <cfRule type="expression" dxfId="439" priority="136">
      <formula>$C$102&lt;2</formula>
    </cfRule>
  </conditionalFormatting>
  <conditionalFormatting sqref="AG24:AG25">
    <cfRule type="expression" dxfId="438" priority="135">
      <formula>$C$101=1</formula>
    </cfRule>
  </conditionalFormatting>
  <conditionalFormatting sqref="AG24:AG25">
    <cfRule type="expression" dxfId="437" priority="134">
      <formula>$C$102&lt;2</formula>
    </cfRule>
  </conditionalFormatting>
  <conditionalFormatting sqref="AJ24:AJ25">
    <cfRule type="expression" dxfId="436" priority="133">
      <formula>$C$101=1</formula>
    </cfRule>
  </conditionalFormatting>
  <conditionalFormatting sqref="AJ24:AJ25">
    <cfRule type="expression" dxfId="435" priority="132">
      <formula>$C$102&lt;2</formula>
    </cfRule>
  </conditionalFormatting>
  <conditionalFormatting sqref="AM24:AM25">
    <cfRule type="expression" dxfId="434" priority="131">
      <formula>$C$101=1</formula>
    </cfRule>
  </conditionalFormatting>
  <conditionalFormatting sqref="AM24:AM25">
    <cfRule type="expression" dxfId="433" priority="130">
      <formula>$C$102&lt;2</formula>
    </cfRule>
  </conditionalFormatting>
  <conditionalFormatting sqref="AP24:AP25">
    <cfRule type="expression" dxfId="432" priority="129">
      <formula>$C$101=1</formula>
    </cfRule>
  </conditionalFormatting>
  <conditionalFormatting sqref="AP24:AP25">
    <cfRule type="expression" dxfId="431" priority="128">
      <formula>$C$102&lt;2</formula>
    </cfRule>
  </conditionalFormatting>
  <conditionalFormatting sqref="AS24:AS25">
    <cfRule type="expression" dxfId="430" priority="127">
      <formula>$C$101=1</formula>
    </cfRule>
  </conditionalFormatting>
  <conditionalFormatting sqref="AS24:AS25">
    <cfRule type="expression" dxfId="429" priority="126">
      <formula>$C$102&lt;2</formula>
    </cfRule>
  </conditionalFormatting>
  <conditionalFormatting sqref="AV24:AV25">
    <cfRule type="expression" dxfId="428" priority="125">
      <formula>$C$101=1</formula>
    </cfRule>
  </conditionalFormatting>
  <conditionalFormatting sqref="AV24:AV25">
    <cfRule type="expression" dxfId="427" priority="124">
      <formula>$C$102&lt;2</formula>
    </cfRule>
  </conditionalFormatting>
  <conditionalFormatting sqref="AY24:AY25">
    <cfRule type="expression" dxfId="426" priority="123">
      <formula>$C$101=1</formula>
    </cfRule>
  </conditionalFormatting>
  <conditionalFormatting sqref="AY24:AY25">
    <cfRule type="expression" dxfId="425" priority="122">
      <formula>$C$102&lt;2</formula>
    </cfRule>
  </conditionalFormatting>
  <conditionalFormatting sqref="BB24:BB25">
    <cfRule type="expression" dxfId="424" priority="121">
      <formula>$C$101=1</formula>
    </cfRule>
  </conditionalFormatting>
  <conditionalFormatting sqref="BB24:BB25">
    <cfRule type="expression" dxfId="423" priority="120">
      <formula>$C$102&lt;2</formula>
    </cfRule>
  </conditionalFormatting>
  <conditionalFormatting sqref="BE24:BE25">
    <cfRule type="expression" dxfId="422" priority="119">
      <formula>$C$101=1</formula>
    </cfRule>
  </conditionalFormatting>
  <conditionalFormatting sqref="BE24:BE25">
    <cfRule type="expression" dxfId="421" priority="118">
      <formula>$C$102&lt;2</formula>
    </cfRule>
  </conditionalFormatting>
  <conditionalFormatting sqref="BH24:BH25">
    <cfRule type="expression" dxfId="420" priority="117">
      <formula>$C$101=1</formula>
    </cfRule>
  </conditionalFormatting>
  <conditionalFormatting sqref="BH24:BH25">
    <cfRule type="expression" dxfId="419" priority="116">
      <formula>$C$102&lt;2</formula>
    </cfRule>
  </conditionalFormatting>
  <conditionalFormatting sqref="BK24:BK25">
    <cfRule type="expression" dxfId="418" priority="115">
      <formula>$C$101=1</formula>
    </cfRule>
  </conditionalFormatting>
  <conditionalFormatting sqref="BK24:BK25">
    <cfRule type="expression" dxfId="417" priority="114">
      <formula>$C$102&lt;2</formula>
    </cfRule>
  </conditionalFormatting>
  <conditionalFormatting sqref="BN24:BN25">
    <cfRule type="expression" dxfId="416" priority="113">
      <formula>$C$101=1</formula>
    </cfRule>
  </conditionalFormatting>
  <conditionalFormatting sqref="BN24:BN25">
    <cfRule type="expression" dxfId="415" priority="112">
      <formula>$C$102&lt;2</formula>
    </cfRule>
  </conditionalFormatting>
  <conditionalFormatting sqref="BQ24:BQ25">
    <cfRule type="expression" dxfId="414" priority="111">
      <formula>$C$101=1</formula>
    </cfRule>
  </conditionalFormatting>
  <conditionalFormatting sqref="BQ24:BQ25">
    <cfRule type="expression" dxfId="413" priority="110">
      <formula>$C$102&lt;2</formula>
    </cfRule>
  </conditionalFormatting>
  <conditionalFormatting sqref="BT24:BT25">
    <cfRule type="expression" dxfId="412" priority="109">
      <formula>$C$101=1</formula>
    </cfRule>
  </conditionalFormatting>
  <conditionalFormatting sqref="BT24:BT25">
    <cfRule type="expression" dxfId="411" priority="108">
      <formula>$C$102&lt;2</formula>
    </cfRule>
  </conditionalFormatting>
  <conditionalFormatting sqref="X23">
    <cfRule type="expression" dxfId="410" priority="107">
      <formula>$C$101=1</formula>
    </cfRule>
  </conditionalFormatting>
  <conditionalFormatting sqref="X23">
    <cfRule type="expression" dxfId="409" priority="106">
      <formula>$C$102&lt;2</formula>
    </cfRule>
  </conditionalFormatting>
  <conditionalFormatting sqref="AA23">
    <cfRule type="expression" dxfId="408" priority="105">
      <formula>$C$101=1</formula>
    </cfRule>
  </conditionalFormatting>
  <conditionalFormatting sqref="AA23">
    <cfRule type="expression" dxfId="407" priority="104">
      <formula>$C$102&lt;2</formula>
    </cfRule>
  </conditionalFormatting>
  <conditionalFormatting sqref="AD23">
    <cfRule type="expression" dxfId="406" priority="103">
      <formula>$C$101=1</formula>
    </cfRule>
  </conditionalFormatting>
  <conditionalFormatting sqref="AD23">
    <cfRule type="expression" dxfId="405" priority="102">
      <formula>$C$102&lt;2</formula>
    </cfRule>
  </conditionalFormatting>
  <conditionalFormatting sqref="AG23">
    <cfRule type="expression" dxfId="404" priority="101">
      <formula>$C$101=1</formula>
    </cfRule>
  </conditionalFormatting>
  <conditionalFormatting sqref="AG23">
    <cfRule type="expression" dxfId="403" priority="100">
      <formula>$C$102&lt;2</formula>
    </cfRule>
  </conditionalFormatting>
  <conditionalFormatting sqref="AJ23">
    <cfRule type="expression" dxfId="402" priority="99">
      <formula>$C$101=1</formula>
    </cfRule>
  </conditionalFormatting>
  <conditionalFormatting sqref="AJ23">
    <cfRule type="expression" dxfId="401" priority="98">
      <formula>$C$102&lt;2</formula>
    </cfRule>
  </conditionalFormatting>
  <conditionalFormatting sqref="AM23">
    <cfRule type="expression" dxfId="400" priority="97">
      <formula>$C$101=1</formula>
    </cfRule>
  </conditionalFormatting>
  <conditionalFormatting sqref="AM23">
    <cfRule type="expression" dxfId="399" priority="96">
      <formula>$C$102&lt;2</formula>
    </cfRule>
  </conditionalFormatting>
  <conditionalFormatting sqref="AP23">
    <cfRule type="expression" dxfId="398" priority="95">
      <formula>$C$101=1</formula>
    </cfRule>
  </conditionalFormatting>
  <conditionalFormatting sqref="AP23">
    <cfRule type="expression" dxfId="397" priority="94">
      <formula>$C$102&lt;2</formula>
    </cfRule>
  </conditionalFormatting>
  <conditionalFormatting sqref="AS23">
    <cfRule type="expression" dxfId="396" priority="93">
      <formula>$C$101=1</formula>
    </cfRule>
  </conditionalFormatting>
  <conditionalFormatting sqref="AS23">
    <cfRule type="expression" dxfId="395" priority="92">
      <formula>$C$102&lt;2</formula>
    </cfRule>
  </conditionalFormatting>
  <conditionalFormatting sqref="AV23">
    <cfRule type="expression" dxfId="394" priority="91">
      <formula>$C$101=1</formula>
    </cfRule>
  </conditionalFormatting>
  <conditionalFormatting sqref="AV23">
    <cfRule type="expression" dxfId="393" priority="90">
      <formula>$C$102&lt;2</formula>
    </cfRule>
  </conditionalFormatting>
  <conditionalFormatting sqref="AY23">
    <cfRule type="expression" dxfId="392" priority="89">
      <formula>$C$101=1</formula>
    </cfRule>
  </conditionalFormatting>
  <conditionalFormatting sqref="AY23">
    <cfRule type="expression" dxfId="391" priority="88">
      <formula>$C$102&lt;2</formula>
    </cfRule>
  </conditionalFormatting>
  <conditionalFormatting sqref="BB23">
    <cfRule type="expression" dxfId="390" priority="87">
      <formula>$C$101=1</formula>
    </cfRule>
  </conditionalFormatting>
  <conditionalFormatting sqref="BB23">
    <cfRule type="expression" dxfId="389" priority="86">
      <formula>$C$102&lt;2</formula>
    </cfRule>
  </conditionalFormatting>
  <conditionalFormatting sqref="BE23">
    <cfRule type="expression" dxfId="388" priority="85">
      <formula>$C$101=1</formula>
    </cfRule>
  </conditionalFormatting>
  <conditionalFormatting sqref="BE23">
    <cfRule type="expression" dxfId="387" priority="84">
      <formula>$C$102&lt;2</formula>
    </cfRule>
  </conditionalFormatting>
  <conditionalFormatting sqref="BH23">
    <cfRule type="expression" dxfId="386" priority="83">
      <formula>$C$101=1</formula>
    </cfRule>
  </conditionalFormatting>
  <conditionalFormatting sqref="BH23">
    <cfRule type="expression" dxfId="385" priority="82">
      <formula>$C$102&lt;2</formula>
    </cfRule>
  </conditionalFormatting>
  <conditionalFormatting sqref="BK23">
    <cfRule type="expression" dxfId="384" priority="81">
      <formula>$C$101=1</formula>
    </cfRule>
  </conditionalFormatting>
  <conditionalFormatting sqref="BK23">
    <cfRule type="expression" dxfId="383" priority="80">
      <formula>$C$102&lt;2</formula>
    </cfRule>
  </conditionalFormatting>
  <conditionalFormatting sqref="BN23">
    <cfRule type="expression" dxfId="382" priority="79">
      <formula>$C$101=1</formula>
    </cfRule>
  </conditionalFormatting>
  <conditionalFormatting sqref="BN23">
    <cfRule type="expression" dxfId="381" priority="78">
      <formula>$C$102&lt;2</formula>
    </cfRule>
  </conditionalFormatting>
  <conditionalFormatting sqref="BQ23">
    <cfRule type="expression" dxfId="380" priority="77">
      <formula>$C$101=1</formula>
    </cfRule>
  </conditionalFormatting>
  <conditionalFormatting sqref="BQ23">
    <cfRule type="expression" dxfId="379" priority="76">
      <formula>$C$102&lt;2</formula>
    </cfRule>
  </conditionalFormatting>
  <conditionalFormatting sqref="BT23">
    <cfRule type="expression" dxfId="378" priority="75">
      <formula>$C$101=1</formula>
    </cfRule>
  </conditionalFormatting>
  <conditionalFormatting sqref="BT23">
    <cfRule type="expression" dxfId="377" priority="74">
      <formula>$C$102&lt;2</formula>
    </cfRule>
  </conditionalFormatting>
  <conditionalFormatting sqref="U30:U31">
    <cfRule type="expression" dxfId="376" priority="73">
      <formula>$C$101=1</formula>
    </cfRule>
  </conditionalFormatting>
  <conditionalFormatting sqref="U34:U36">
    <cfRule type="expression" dxfId="375" priority="72">
      <formula>$C$101=1</formula>
    </cfRule>
  </conditionalFormatting>
  <conditionalFormatting sqref="X32:X33">
    <cfRule type="expression" dxfId="374" priority="71">
      <formula>$C$101=1</formula>
    </cfRule>
  </conditionalFormatting>
  <conditionalFormatting sqref="X32:X33">
    <cfRule type="expression" dxfId="373" priority="70">
      <formula>$C$102&lt;2</formula>
    </cfRule>
  </conditionalFormatting>
  <conditionalFormatting sqref="X34:X36">
    <cfRule type="expression" dxfId="372" priority="69">
      <formula>$C$101=1</formula>
    </cfRule>
  </conditionalFormatting>
  <conditionalFormatting sqref="AA32:AA33">
    <cfRule type="expression" dxfId="371" priority="68">
      <formula>$C$101=1</formula>
    </cfRule>
  </conditionalFormatting>
  <conditionalFormatting sqref="AA32:AA33">
    <cfRule type="expression" dxfId="370" priority="67">
      <formula>$C$102&lt;2</formula>
    </cfRule>
  </conditionalFormatting>
  <conditionalFormatting sqref="AA30:AA31">
    <cfRule type="expression" dxfId="369" priority="66">
      <formula>$C$101=1</formula>
    </cfRule>
  </conditionalFormatting>
  <conditionalFormatting sqref="AA34:AA36">
    <cfRule type="expression" dxfId="368" priority="65">
      <formula>$C$101=1</formula>
    </cfRule>
  </conditionalFormatting>
  <conditionalFormatting sqref="AD32:AD33">
    <cfRule type="expression" dxfId="367" priority="64">
      <formula>$C$101=1</formula>
    </cfRule>
  </conditionalFormatting>
  <conditionalFormatting sqref="AD32:AD33">
    <cfRule type="expression" dxfId="366" priority="63">
      <formula>$C$102&lt;2</formula>
    </cfRule>
  </conditionalFormatting>
  <conditionalFormatting sqref="AD34:AD36">
    <cfRule type="expression" dxfId="365" priority="62">
      <formula>$C$101=1</formula>
    </cfRule>
  </conditionalFormatting>
  <conditionalFormatting sqref="AG32:AG33">
    <cfRule type="expression" dxfId="364" priority="61">
      <formula>$C$101=1</formula>
    </cfRule>
  </conditionalFormatting>
  <conditionalFormatting sqref="AG32:AG33">
    <cfRule type="expression" dxfId="363" priority="60">
      <formula>$C$102&lt;2</formula>
    </cfRule>
  </conditionalFormatting>
  <conditionalFormatting sqref="AG34:AG36">
    <cfRule type="expression" dxfId="362" priority="59">
      <formula>$C$101=1</formula>
    </cfRule>
  </conditionalFormatting>
  <conditionalFormatting sqref="AJ32:AJ33">
    <cfRule type="expression" dxfId="361" priority="58">
      <formula>$C$101=1</formula>
    </cfRule>
  </conditionalFormatting>
  <conditionalFormatting sqref="AJ32:AJ33">
    <cfRule type="expression" dxfId="360" priority="57">
      <formula>$C$102&lt;2</formula>
    </cfRule>
  </conditionalFormatting>
  <conditionalFormatting sqref="AJ34:AJ36">
    <cfRule type="expression" dxfId="359" priority="56">
      <formula>$C$101=1</formula>
    </cfRule>
  </conditionalFormatting>
  <conditionalFormatting sqref="AM32:AM33">
    <cfRule type="expression" dxfId="358" priority="55">
      <formula>$C$101=1</formula>
    </cfRule>
  </conditionalFormatting>
  <conditionalFormatting sqref="AM32:AM33">
    <cfRule type="expression" dxfId="357" priority="54">
      <formula>$C$102&lt;2</formula>
    </cfRule>
  </conditionalFormatting>
  <conditionalFormatting sqref="AM34:AM36">
    <cfRule type="expression" dxfId="356" priority="53">
      <formula>$C$101=1</formula>
    </cfRule>
  </conditionalFormatting>
  <conditionalFormatting sqref="AP32:AP33">
    <cfRule type="expression" dxfId="355" priority="52">
      <formula>$C$101=1</formula>
    </cfRule>
  </conditionalFormatting>
  <conditionalFormatting sqref="AP32:AP33">
    <cfRule type="expression" dxfId="354" priority="51">
      <formula>$C$102&lt;2</formula>
    </cfRule>
  </conditionalFormatting>
  <conditionalFormatting sqref="AP34:AP36">
    <cfRule type="expression" dxfId="353" priority="50">
      <formula>$C$101=1</formula>
    </cfRule>
  </conditionalFormatting>
  <conditionalFormatting sqref="AS32:AS33">
    <cfRule type="expression" dxfId="352" priority="49">
      <formula>$C$101=1</formula>
    </cfRule>
  </conditionalFormatting>
  <conditionalFormatting sqref="AS32:AS33">
    <cfRule type="expression" dxfId="351" priority="48">
      <formula>$C$102&lt;2</formula>
    </cfRule>
  </conditionalFormatting>
  <conditionalFormatting sqref="AS34:AS36">
    <cfRule type="expression" dxfId="350" priority="47">
      <formula>$C$101=1</formula>
    </cfRule>
  </conditionalFormatting>
  <conditionalFormatting sqref="AV32:AV33">
    <cfRule type="expression" dxfId="349" priority="46">
      <formula>$C$101=1</formula>
    </cfRule>
  </conditionalFormatting>
  <conditionalFormatting sqref="AV32:AV33">
    <cfRule type="expression" dxfId="348" priority="45">
      <formula>$C$102&lt;2</formula>
    </cfRule>
  </conditionalFormatting>
  <conditionalFormatting sqref="AV34:AV36">
    <cfRule type="expression" dxfId="347" priority="44">
      <formula>$C$101=1</formula>
    </cfRule>
  </conditionalFormatting>
  <conditionalFormatting sqref="AY32:AY33">
    <cfRule type="expression" dxfId="346" priority="43">
      <formula>$C$101=1</formula>
    </cfRule>
  </conditionalFormatting>
  <conditionalFormatting sqref="AY32:AY33">
    <cfRule type="expression" dxfId="345" priority="42">
      <formula>$C$102&lt;2</formula>
    </cfRule>
  </conditionalFormatting>
  <conditionalFormatting sqref="AY34:AY36">
    <cfRule type="expression" dxfId="344" priority="41">
      <formula>$C$101=1</formula>
    </cfRule>
  </conditionalFormatting>
  <conditionalFormatting sqref="BB32:BB33">
    <cfRule type="expression" dxfId="343" priority="40">
      <formula>$C$101=1</formula>
    </cfRule>
  </conditionalFormatting>
  <conditionalFormatting sqref="BB32:BB33">
    <cfRule type="expression" dxfId="342" priority="39">
      <formula>$C$102&lt;2</formula>
    </cfRule>
  </conditionalFormatting>
  <conditionalFormatting sqref="BB34:BB36">
    <cfRule type="expression" dxfId="341" priority="38">
      <formula>$C$101=1</formula>
    </cfRule>
  </conditionalFormatting>
  <conditionalFormatting sqref="BE32:BE33">
    <cfRule type="expression" dxfId="340" priority="37">
      <formula>$C$101=1</formula>
    </cfRule>
  </conditionalFormatting>
  <conditionalFormatting sqref="BE32:BE33">
    <cfRule type="expression" dxfId="339" priority="36">
      <formula>$C$102&lt;2</formula>
    </cfRule>
  </conditionalFormatting>
  <conditionalFormatting sqref="BE34:BE36">
    <cfRule type="expression" dxfId="338" priority="35">
      <formula>$C$101=1</formula>
    </cfRule>
  </conditionalFormatting>
  <conditionalFormatting sqref="BH32:BH33">
    <cfRule type="expression" dxfId="337" priority="34">
      <formula>$C$101=1</formula>
    </cfRule>
  </conditionalFormatting>
  <conditionalFormatting sqref="BH32:BH33">
    <cfRule type="expression" dxfId="336" priority="33">
      <formula>$C$102&lt;2</formula>
    </cfRule>
  </conditionalFormatting>
  <conditionalFormatting sqref="BH34:BH36">
    <cfRule type="expression" dxfId="335" priority="32">
      <formula>$C$101=1</formula>
    </cfRule>
  </conditionalFormatting>
  <conditionalFormatting sqref="BK32:BK33">
    <cfRule type="expression" dxfId="334" priority="31">
      <formula>$C$101=1</formula>
    </cfRule>
  </conditionalFormatting>
  <conditionalFormatting sqref="BK32:BK33">
    <cfRule type="expression" dxfId="333" priority="30">
      <formula>$C$102&lt;2</formula>
    </cfRule>
  </conditionalFormatting>
  <conditionalFormatting sqref="BK34:BK36">
    <cfRule type="expression" dxfId="332" priority="29">
      <formula>$C$101=1</formula>
    </cfRule>
  </conditionalFormatting>
  <conditionalFormatting sqref="BN32:BN33">
    <cfRule type="expression" dxfId="331" priority="28">
      <formula>$C$101=1</formula>
    </cfRule>
  </conditionalFormatting>
  <conditionalFormatting sqref="BN32:BN33">
    <cfRule type="expression" dxfId="330" priority="27">
      <formula>$C$102&lt;2</formula>
    </cfRule>
  </conditionalFormatting>
  <conditionalFormatting sqref="BN34:BN36">
    <cfRule type="expression" dxfId="329" priority="26">
      <formula>$C$101=1</formula>
    </cfRule>
  </conditionalFormatting>
  <conditionalFormatting sqref="BQ32:BQ33">
    <cfRule type="expression" dxfId="328" priority="25">
      <formula>$C$101=1</formula>
    </cfRule>
  </conditionalFormatting>
  <conditionalFormatting sqref="BQ32:BQ33">
    <cfRule type="expression" dxfId="327" priority="24">
      <formula>$C$102&lt;2</formula>
    </cfRule>
  </conditionalFormatting>
  <conditionalFormatting sqref="BQ34:BQ36">
    <cfRule type="expression" dxfId="326" priority="23">
      <formula>$C$101=1</formula>
    </cfRule>
  </conditionalFormatting>
  <conditionalFormatting sqref="BT32:BT33">
    <cfRule type="expression" dxfId="325" priority="22">
      <formula>$C$101=1</formula>
    </cfRule>
  </conditionalFormatting>
  <conditionalFormatting sqref="BT32:BT33">
    <cfRule type="expression" dxfId="324" priority="21">
      <formula>$C$102&lt;2</formula>
    </cfRule>
  </conditionalFormatting>
  <conditionalFormatting sqref="BT34:BT36">
    <cfRule type="expression" dxfId="323" priority="20">
      <formula>$C$101=1</formula>
    </cfRule>
  </conditionalFormatting>
  <conditionalFormatting sqref="O30:O31">
    <cfRule type="expression" dxfId="322" priority="19">
      <formula>$C$101=1</formula>
    </cfRule>
  </conditionalFormatting>
  <conditionalFormatting sqref="R30:R31">
    <cfRule type="expression" dxfId="321" priority="18">
      <formula>$C$101=1</formula>
    </cfRule>
  </conditionalFormatting>
  <conditionalFormatting sqref="X30:X31">
    <cfRule type="expression" dxfId="320" priority="17">
      <formula>$C$101=1</formula>
    </cfRule>
  </conditionalFormatting>
  <conditionalFormatting sqref="AD30:AD31">
    <cfRule type="expression" dxfId="319" priority="16">
      <formula>$C$101=1</formula>
    </cfRule>
  </conditionalFormatting>
  <conditionalFormatting sqref="AG30:AG31">
    <cfRule type="expression" dxfId="318" priority="15">
      <formula>$C$101=1</formula>
    </cfRule>
  </conditionalFormatting>
  <conditionalFormatting sqref="AJ30:AJ31">
    <cfRule type="expression" dxfId="317" priority="14">
      <formula>$C$101=1</formula>
    </cfRule>
  </conditionalFormatting>
  <conditionalFormatting sqref="AM30:AM31">
    <cfRule type="expression" dxfId="316" priority="13">
      <formula>$C$101=1</formula>
    </cfRule>
  </conditionalFormatting>
  <conditionalFormatting sqref="AP30:AP31">
    <cfRule type="expression" dxfId="315" priority="12">
      <formula>$C$101=1</formula>
    </cfRule>
  </conditionalFormatting>
  <conditionalFormatting sqref="AS30:AS31">
    <cfRule type="expression" dxfId="314" priority="11">
      <formula>$C$101=1</formula>
    </cfRule>
  </conditionalFormatting>
  <conditionalFormatting sqref="AV30:AV31">
    <cfRule type="expression" dxfId="313" priority="10">
      <formula>$C$101=1</formula>
    </cfRule>
  </conditionalFormatting>
  <conditionalFormatting sqref="AY30:AY31">
    <cfRule type="expression" dxfId="312" priority="9">
      <formula>$C$101=1</formula>
    </cfRule>
  </conditionalFormatting>
  <conditionalFormatting sqref="BB30:BB31">
    <cfRule type="expression" dxfId="311" priority="8">
      <formula>$C$101=1</formula>
    </cfRule>
  </conditionalFormatting>
  <conditionalFormatting sqref="BE30:BE31">
    <cfRule type="expression" dxfId="310" priority="7">
      <formula>$C$101=1</formula>
    </cfRule>
  </conditionalFormatting>
  <conditionalFormatting sqref="BH30:BH31">
    <cfRule type="expression" dxfId="309" priority="6">
      <formula>$C$101=1</formula>
    </cfRule>
  </conditionalFormatting>
  <conditionalFormatting sqref="BK30:BK31">
    <cfRule type="expression" dxfId="308" priority="5">
      <formula>$C$101=1</formula>
    </cfRule>
  </conditionalFormatting>
  <conditionalFormatting sqref="BN30:BN31">
    <cfRule type="expression" dxfId="307" priority="4">
      <formula>$C$101=1</formula>
    </cfRule>
  </conditionalFormatting>
  <conditionalFormatting sqref="BQ30:BQ31">
    <cfRule type="expression" dxfId="306" priority="3">
      <formula>$C$101=1</formula>
    </cfRule>
  </conditionalFormatting>
  <conditionalFormatting sqref="BT30:BT31">
    <cfRule type="expression" dxfId="305" priority="2">
      <formula>$C$101=1</formula>
    </cfRule>
  </conditionalFormatting>
  <conditionalFormatting sqref="J71:L74">
    <cfRule type="expression" dxfId="304" priority="1">
      <formula>$C$100=2</formula>
    </cfRule>
  </conditionalFormatting>
  <pageMargins left="0.7" right="0.7" top="0.75" bottom="0.75" header="0.3" footer="0.3"/>
  <pageSetup scale="1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2:P179"/>
  <sheetViews>
    <sheetView topLeftCell="A143" zoomScaleNormal="100" workbookViewId="0">
      <selection activeCell="G153" sqref="G153"/>
    </sheetView>
  </sheetViews>
  <sheetFormatPr defaultRowHeight="15" x14ac:dyDescent="0.25"/>
  <cols>
    <col min="1" max="1" width="12.28515625" customWidth="1"/>
    <col min="2" max="2" width="26.5703125" customWidth="1"/>
    <col min="3" max="3" width="14.5703125" customWidth="1"/>
    <col min="4" max="4" width="16.140625" customWidth="1"/>
    <col min="6" max="6" width="22.7109375" customWidth="1"/>
    <col min="9" max="9" width="28.5703125" customWidth="1"/>
    <col min="10" max="10" width="11.42578125" customWidth="1"/>
    <col min="11" max="11" width="11.140625" customWidth="1"/>
    <col min="12" max="12" width="11.85546875" customWidth="1"/>
  </cols>
  <sheetData>
    <row r="2" spans="2:16" x14ac:dyDescent="0.25">
      <c r="B2" s="531"/>
      <c r="C2" t="s">
        <v>739</v>
      </c>
    </row>
    <row r="3" spans="2:16" x14ac:dyDescent="0.25">
      <c r="B3" s="535"/>
      <c r="C3" t="s">
        <v>738</v>
      </c>
    </row>
    <row r="4" spans="2:16" x14ac:dyDescent="0.25">
      <c r="B4" s="533"/>
      <c r="C4" t="s">
        <v>740</v>
      </c>
    </row>
    <row r="6" spans="2:16" x14ac:dyDescent="0.25">
      <c r="J6" s="1" t="s">
        <v>166</v>
      </c>
      <c r="K6" t="s">
        <v>77</v>
      </c>
      <c r="L6" s="1" t="s">
        <v>78</v>
      </c>
      <c r="N6" s="1" t="s">
        <v>313</v>
      </c>
    </row>
    <row r="7" spans="2:16" x14ac:dyDescent="0.25">
      <c r="B7" s="1" t="s">
        <v>155</v>
      </c>
      <c r="C7" s="531">
        <v>2</v>
      </c>
      <c r="D7" t="s">
        <v>736</v>
      </c>
      <c r="F7" s="1" t="s">
        <v>68</v>
      </c>
      <c r="G7" s="531" t="b">
        <f>IF(AND('R4UD_Project'!O20="Yes",'R4UD_Project'!$M$15&gt;0),TRUE,FALSE)</f>
        <v>0</v>
      </c>
      <c r="I7" s="1" t="s">
        <v>59</v>
      </c>
      <c r="J7" s="531" t="b">
        <v>0</v>
      </c>
      <c r="L7" s="535" t="str">
        <f>VLOOKUP(D87,A80:D86,4)</f>
        <v/>
      </c>
      <c r="N7" s="535">
        <f>IF('R4UD_Ref'!J7=TRUE,'R4UD_Project'!F30,'R4UD_Ref'!E87)</f>
        <v>12</v>
      </c>
    </row>
    <row r="8" spans="2:16" x14ac:dyDescent="0.25">
      <c r="B8" s="746" t="s">
        <v>156</v>
      </c>
      <c r="C8" s="533" t="s">
        <v>3</v>
      </c>
      <c r="F8" s="1" t="s">
        <v>69</v>
      </c>
      <c r="G8" s="531" t="b">
        <f>IF(AND('R4UD_Project'!O21="Yes",'R4UD_Project'!$M$15&gt;1),TRUE,FALSE)</f>
        <v>0</v>
      </c>
      <c r="I8" s="1" t="s">
        <v>107</v>
      </c>
      <c r="J8" s="531" t="b">
        <v>0</v>
      </c>
      <c r="L8" s="535" t="str">
        <f>VLOOKUP(D97,A88:D96,4)</f>
        <v/>
      </c>
      <c r="N8" s="535">
        <f>IF(J8=TRUE,'R4UD_Project'!F31,'R4UD_Ref'!E97)</f>
        <v>2</v>
      </c>
    </row>
    <row r="9" spans="2:16" x14ac:dyDescent="0.25">
      <c r="B9" s="747"/>
      <c r="C9" s="533" t="s">
        <v>4</v>
      </c>
      <c r="F9" s="1" t="s">
        <v>80</v>
      </c>
      <c r="G9" s="531" t="b">
        <f>IF(AND('R4UD_Project'!O22="Yes",'R4UD_Project'!$M$15&gt;2),TRUE,FALSE)</f>
        <v>0</v>
      </c>
      <c r="I9" s="1" t="s">
        <v>386</v>
      </c>
      <c r="J9" s="531" t="b">
        <v>0</v>
      </c>
      <c r="L9" s="535" t="str">
        <f>IF(D103=1,D98,IF(D103=2,D99,IF(D103=3,D100,IF(D103=4,D101,IF(D103=5,D102,"")))))</f>
        <v/>
      </c>
      <c r="N9" s="535">
        <f>IF(J9=TRUE,'R4UD_Project'!F32,'R4UD_Ref'!E103)</f>
        <v>0</v>
      </c>
    </row>
    <row r="10" spans="2:16" x14ac:dyDescent="0.25">
      <c r="B10" s="704"/>
      <c r="C10" s="533" t="s">
        <v>5</v>
      </c>
      <c r="F10" s="1" t="s">
        <v>161</v>
      </c>
      <c r="G10" s="531" t="b">
        <f>IF(AND('R4UD_Project'!O23="Yes",'R4UD_Project'!$M$15&gt;3),TRUE,FALSE)</f>
        <v>0</v>
      </c>
      <c r="I10" s="1" t="s">
        <v>58</v>
      </c>
      <c r="J10" s="531" t="b">
        <v>0</v>
      </c>
      <c r="L10" s="535" t="str">
        <f>IF(D108=1,D104,IF(D108=2,D105,IF(D108=3,D106,IF(D108=4,D107,""))))</f>
        <v/>
      </c>
      <c r="N10" s="535" t="str">
        <f>IF(J10=TRUE,'R4UD_Project'!F33,'R4UD_Ref'!E108)</f>
        <v>1V:2H</v>
      </c>
    </row>
    <row r="11" spans="2:16" x14ac:dyDescent="0.25">
      <c r="B11" s="1" t="s">
        <v>157</v>
      </c>
      <c r="C11" s="531">
        <v>1</v>
      </c>
      <c r="D11" s="535">
        <f>IF(C11=1,'R4UD_Setup'!F5,IF('R4UD_Ref'!C11=2,'R4UD_Setup'!F6,'R4UD_Setup'!F7))</f>
        <v>2.5</v>
      </c>
      <c r="F11" s="1" t="s">
        <v>238</v>
      </c>
      <c r="G11" s="531" t="b">
        <f>IF(AND('R4UD_Project'!O24="Yes",'R4UD_Project'!$M$15&gt;4),TRUE,FALSE)</f>
        <v>0</v>
      </c>
      <c r="I11" s="1" t="s">
        <v>73</v>
      </c>
      <c r="J11" s="531" t="b">
        <v>0</v>
      </c>
      <c r="N11" s="535">
        <f>IF(C111=1,1,IF(J11=TRUE,1,0))</f>
        <v>0</v>
      </c>
      <c r="O11" t="s">
        <v>170</v>
      </c>
      <c r="P11" t="s">
        <v>172</v>
      </c>
    </row>
    <row r="12" spans="2:16" x14ac:dyDescent="0.25">
      <c r="B12" s="746" t="s">
        <v>61</v>
      </c>
      <c r="C12" s="533" t="s">
        <v>158</v>
      </c>
      <c r="F12" s="1" t="s">
        <v>239</v>
      </c>
      <c r="G12" s="531" t="b">
        <f>IF(AND('R4UD_Project'!O25="Yes",'R4UD_Project'!$M$15&gt;5),TRUE,FALSE)</f>
        <v>0</v>
      </c>
      <c r="I12" s="1" t="s">
        <v>74</v>
      </c>
      <c r="J12" s="531" t="b">
        <v>0</v>
      </c>
      <c r="N12" s="535">
        <f>IF(C114=1,1,IF(J12=TRUE,1,0))</f>
        <v>0</v>
      </c>
      <c r="O12" t="s">
        <v>171</v>
      </c>
      <c r="P12" t="s">
        <v>173</v>
      </c>
    </row>
    <row r="13" spans="2:16" x14ac:dyDescent="0.25">
      <c r="B13" s="704"/>
      <c r="C13" s="533" t="s">
        <v>159</v>
      </c>
      <c r="F13" s="1" t="s">
        <v>240</v>
      </c>
      <c r="G13" s="531" t="b">
        <f>IF(AND('R4UD_Project'!O26="Yes",'R4UD_Project'!$M$15&gt;6),TRUE,FALSE)</f>
        <v>0</v>
      </c>
      <c r="I13" s="545" t="s">
        <v>75</v>
      </c>
      <c r="J13" s="550" t="b">
        <v>0</v>
      </c>
      <c r="N13" s="535">
        <f>IF(J13=TRUE,1,0)</f>
        <v>0</v>
      </c>
    </row>
    <row r="14" spans="2:16" x14ac:dyDescent="0.25">
      <c r="B14" s="1" t="s">
        <v>160</v>
      </c>
      <c r="C14" s="531">
        <v>2</v>
      </c>
      <c r="F14" s="1" t="s">
        <v>241</v>
      </c>
      <c r="G14" s="531" t="b">
        <f>IF(AND('R4UD_Project'!O27="Yes",'R4UD_Project'!$M$15&gt;7),TRUE,FALSE)</f>
        <v>0</v>
      </c>
      <c r="I14" s="748" t="s">
        <v>237</v>
      </c>
      <c r="J14" s="749"/>
      <c r="K14" s="749"/>
      <c r="L14" s="750"/>
      <c r="M14" s="531">
        <v>1</v>
      </c>
    </row>
    <row r="15" spans="2:16" x14ac:dyDescent="0.25">
      <c r="F15" s="1" t="s">
        <v>242</v>
      </c>
      <c r="G15" s="531" t="b">
        <f>IF(AND('R4UD_Project'!O28="Yes",'R4UD_Project'!$M$15&gt;8),TRUE,FALSE)</f>
        <v>0</v>
      </c>
    </row>
    <row r="16" spans="2:16" x14ac:dyDescent="0.25">
      <c r="F16" s="1" t="s">
        <v>243</v>
      </c>
      <c r="G16" s="531" t="b">
        <f>IF(AND('R4UD_Project'!O29="Yes",'R4UD_Project'!$M$15&gt;9),TRUE,FALSE)</f>
        <v>0</v>
      </c>
    </row>
    <row r="19" spans="2:8" x14ac:dyDescent="0.25">
      <c r="B19" s="1" t="s">
        <v>319</v>
      </c>
      <c r="C19" s="531">
        <v>2</v>
      </c>
    </row>
    <row r="21" spans="2:8" x14ac:dyDescent="0.25">
      <c r="B21" s="1" t="s">
        <v>729</v>
      </c>
      <c r="C21" s="535">
        <f>N7*2+N8+D11*MID(N10,4,1)</f>
        <v>31</v>
      </c>
    </row>
    <row r="22" spans="2:8" x14ac:dyDescent="0.25">
      <c r="B22" s="1" t="s">
        <v>730</v>
      </c>
      <c r="C22" s="535">
        <f>2*E87+E97+D11*MID(E108,4,1)</f>
        <v>31</v>
      </c>
    </row>
    <row r="28" spans="2:8" x14ac:dyDescent="0.25">
      <c r="D28" t="s">
        <v>207</v>
      </c>
    </row>
    <row r="30" spans="2:8" x14ac:dyDescent="0.25">
      <c r="C30" s="1"/>
      <c r="D30" s="1" t="s">
        <v>168</v>
      </c>
      <c r="E30" s="1" t="s">
        <v>206</v>
      </c>
      <c r="F30" s="1" t="s">
        <v>3</v>
      </c>
      <c r="G30" s="1" t="s">
        <v>4</v>
      </c>
      <c r="H30" s="1" t="s">
        <v>331</v>
      </c>
    </row>
    <row r="31" spans="2:8" x14ac:dyDescent="0.25">
      <c r="C31" s="1"/>
      <c r="D31" s="1" t="s">
        <v>2</v>
      </c>
      <c r="E31" s="531">
        <v>1</v>
      </c>
      <c r="F31" s="531">
        <v>1</v>
      </c>
      <c r="G31" s="531">
        <v>1</v>
      </c>
      <c r="H31" s="531">
        <v>1</v>
      </c>
    </row>
    <row r="32" spans="2:8" x14ac:dyDescent="0.25">
      <c r="C32" s="1" t="s">
        <v>9</v>
      </c>
      <c r="D32" s="1" t="s">
        <v>10</v>
      </c>
      <c r="E32" s="531">
        <v>1</v>
      </c>
    </row>
    <row r="33" spans="3:5" x14ac:dyDescent="0.25">
      <c r="C33" s="1"/>
      <c r="D33" s="1" t="s">
        <v>11</v>
      </c>
      <c r="E33" s="531">
        <v>1</v>
      </c>
    </row>
    <row r="34" spans="3:5" x14ac:dyDescent="0.25">
      <c r="C34" s="1" t="s">
        <v>12</v>
      </c>
      <c r="D34" s="1" t="s">
        <v>10</v>
      </c>
      <c r="E34" s="531">
        <v>1</v>
      </c>
    </row>
    <row r="35" spans="3:5" x14ac:dyDescent="0.25">
      <c r="C35" s="1"/>
      <c r="D35" s="1" t="s">
        <v>11</v>
      </c>
      <c r="E35" s="531">
        <v>1</v>
      </c>
    </row>
    <row r="36" spans="3:5" x14ac:dyDescent="0.25">
      <c r="C36" s="1" t="s">
        <v>13</v>
      </c>
      <c r="D36" s="1" t="s">
        <v>10</v>
      </c>
      <c r="E36" s="531">
        <v>1</v>
      </c>
    </row>
    <row r="37" spans="3:5" x14ac:dyDescent="0.25">
      <c r="C37" s="1"/>
      <c r="D37" s="1" t="s">
        <v>11</v>
      </c>
      <c r="E37" s="531">
        <v>1</v>
      </c>
    </row>
    <row r="38" spans="3:5" x14ac:dyDescent="0.25">
      <c r="C38" s="1"/>
      <c r="D38" s="1" t="s">
        <v>262</v>
      </c>
      <c r="E38" s="531">
        <v>1</v>
      </c>
    </row>
    <row r="40" spans="3:5" x14ac:dyDescent="0.25">
      <c r="C40" s="545" t="s">
        <v>14</v>
      </c>
    </row>
    <row r="41" spans="3:5" x14ac:dyDescent="0.25">
      <c r="C41" s="1" t="s">
        <v>15</v>
      </c>
      <c r="D41" s="1" t="s">
        <v>26</v>
      </c>
      <c r="E41" s="531">
        <v>1</v>
      </c>
    </row>
    <row r="42" spans="3:5" x14ac:dyDescent="0.25">
      <c r="C42" s="1" t="s">
        <v>16</v>
      </c>
      <c r="D42" s="1" t="s">
        <v>27</v>
      </c>
      <c r="E42" s="531">
        <v>1</v>
      </c>
    </row>
    <row r="43" spans="3:5" x14ac:dyDescent="0.25">
      <c r="C43" s="1" t="s">
        <v>17</v>
      </c>
      <c r="D43" s="1" t="s">
        <v>26</v>
      </c>
      <c r="E43" s="531">
        <v>1</v>
      </c>
    </row>
    <row r="44" spans="3:5" x14ac:dyDescent="0.25">
      <c r="C44" s="1" t="s">
        <v>18</v>
      </c>
      <c r="D44" s="1" t="s">
        <v>27</v>
      </c>
      <c r="E44" s="531">
        <v>1</v>
      </c>
    </row>
    <row r="45" spans="3:5" x14ac:dyDescent="0.25">
      <c r="C45" s="1" t="s">
        <v>19</v>
      </c>
      <c r="D45" s="1" t="s">
        <v>27</v>
      </c>
      <c r="E45" s="531">
        <v>1</v>
      </c>
    </row>
    <row r="46" spans="3:5" x14ac:dyDescent="0.25">
      <c r="C46" s="1" t="s">
        <v>20</v>
      </c>
      <c r="D46" s="1" t="s">
        <v>26</v>
      </c>
      <c r="E46" s="531">
        <v>1</v>
      </c>
    </row>
    <row r="47" spans="3:5" x14ac:dyDescent="0.25">
      <c r="C47" s="1" t="s">
        <v>21</v>
      </c>
      <c r="D47" s="1" t="s">
        <v>28</v>
      </c>
      <c r="E47" s="531">
        <v>1</v>
      </c>
    </row>
    <row r="48" spans="3:5" x14ac:dyDescent="0.25">
      <c r="C48" s="1" t="s">
        <v>22</v>
      </c>
      <c r="D48" s="1" t="s">
        <v>29</v>
      </c>
      <c r="E48" s="531">
        <v>1</v>
      </c>
    </row>
    <row r="49" spans="2:7" x14ac:dyDescent="0.25">
      <c r="C49" s="1"/>
      <c r="D49" s="1" t="s">
        <v>30</v>
      </c>
      <c r="E49" s="531">
        <v>1</v>
      </c>
    </row>
    <row r="50" spans="2:7" x14ac:dyDescent="0.25">
      <c r="C50" s="1"/>
      <c r="D50" s="1" t="s">
        <v>31</v>
      </c>
      <c r="E50" s="531">
        <v>1</v>
      </c>
    </row>
    <row r="51" spans="2:7" x14ac:dyDescent="0.25">
      <c r="C51" s="1"/>
      <c r="D51" s="1" t="s">
        <v>32</v>
      </c>
      <c r="E51" s="531">
        <v>1</v>
      </c>
    </row>
    <row r="52" spans="2:7" x14ac:dyDescent="0.25">
      <c r="C52" s="1" t="s">
        <v>23</v>
      </c>
      <c r="D52" s="1" t="s">
        <v>33</v>
      </c>
      <c r="E52" s="531">
        <v>1</v>
      </c>
      <c r="G52" s="1" t="s">
        <v>111</v>
      </c>
    </row>
    <row r="53" spans="2:7" x14ac:dyDescent="0.25">
      <c r="B53" s="1" t="s">
        <v>24</v>
      </c>
      <c r="C53" s="1" t="s">
        <v>34</v>
      </c>
      <c r="D53" s="531">
        <v>1</v>
      </c>
      <c r="E53" s="531">
        <v>1</v>
      </c>
      <c r="G53" s="536">
        <v>5</v>
      </c>
    </row>
    <row r="54" spans="2:7" x14ac:dyDescent="0.25">
      <c r="C54" s="1" t="s">
        <v>35</v>
      </c>
      <c r="G54" s="536">
        <v>10</v>
      </c>
    </row>
    <row r="55" spans="2:7" x14ac:dyDescent="0.25">
      <c r="C55" s="1" t="s">
        <v>36</v>
      </c>
      <c r="G55" s="536">
        <v>20</v>
      </c>
    </row>
    <row r="56" spans="2:7" x14ac:dyDescent="0.25">
      <c r="C56" s="1" t="s">
        <v>37</v>
      </c>
      <c r="D56" s="544">
        <v>1</v>
      </c>
      <c r="E56" s="531">
        <v>1</v>
      </c>
    </row>
    <row r="57" spans="2:7" x14ac:dyDescent="0.25">
      <c r="C57" s="1" t="s">
        <v>38</v>
      </c>
      <c r="D57" s="544">
        <v>2</v>
      </c>
      <c r="E57" s="531">
        <v>1</v>
      </c>
    </row>
    <row r="58" spans="2:7" x14ac:dyDescent="0.25">
      <c r="C58" s="545" t="s">
        <v>39</v>
      </c>
      <c r="D58" s="544">
        <v>1</v>
      </c>
      <c r="E58" s="531">
        <v>1</v>
      </c>
    </row>
    <row r="59" spans="2:7" x14ac:dyDescent="0.25">
      <c r="B59" s="1" t="s">
        <v>25</v>
      </c>
      <c r="C59" s="1" t="s">
        <v>40</v>
      </c>
      <c r="E59" s="532">
        <v>2</v>
      </c>
    </row>
    <row r="60" spans="2:7" x14ac:dyDescent="0.25">
      <c r="C60" s="1" t="s">
        <v>41</v>
      </c>
      <c r="E60" s="532">
        <v>2</v>
      </c>
    </row>
    <row r="61" spans="2:7" x14ac:dyDescent="0.25">
      <c r="C61" s="1" t="s">
        <v>42</v>
      </c>
      <c r="E61" s="532">
        <v>2</v>
      </c>
    </row>
    <row r="62" spans="2:7" x14ac:dyDescent="0.25">
      <c r="C62" s="1" t="s">
        <v>43</v>
      </c>
      <c r="E62" s="532">
        <v>2</v>
      </c>
    </row>
    <row r="63" spans="2:7" x14ac:dyDescent="0.25">
      <c r="C63" s="1" t="s">
        <v>44</v>
      </c>
      <c r="E63" s="532">
        <v>2</v>
      </c>
    </row>
    <row r="66" spans="1:7" x14ac:dyDescent="0.25">
      <c r="C66" s="1" t="s">
        <v>45</v>
      </c>
    </row>
    <row r="67" spans="1:7" x14ac:dyDescent="0.25">
      <c r="C67" s="1" t="s">
        <v>357</v>
      </c>
      <c r="D67" s="1"/>
      <c r="E67" s="531">
        <v>1</v>
      </c>
      <c r="F67" s="1" t="s">
        <v>356</v>
      </c>
      <c r="G67" s="531">
        <v>1</v>
      </c>
    </row>
    <row r="68" spans="1:7" x14ac:dyDescent="0.25">
      <c r="C68" s="1" t="s">
        <v>47</v>
      </c>
      <c r="D68" s="1"/>
      <c r="E68" s="531">
        <v>1</v>
      </c>
      <c r="F68" s="1" t="s">
        <v>355</v>
      </c>
      <c r="G68" s="531">
        <v>1</v>
      </c>
    </row>
    <row r="69" spans="1:7" x14ac:dyDescent="0.25">
      <c r="C69" s="1" t="s">
        <v>48</v>
      </c>
      <c r="D69" s="1" t="s">
        <v>50</v>
      </c>
      <c r="E69" s="531">
        <v>2</v>
      </c>
    </row>
    <row r="70" spans="1:7" x14ac:dyDescent="0.25">
      <c r="D70" s="1" t="s">
        <v>51</v>
      </c>
    </row>
    <row r="71" spans="1:7" x14ac:dyDescent="0.25">
      <c r="D71" s="1" t="s">
        <v>52</v>
      </c>
    </row>
    <row r="72" spans="1:7" x14ac:dyDescent="0.25">
      <c r="D72" s="545" t="s">
        <v>53</v>
      </c>
    </row>
    <row r="73" spans="1:7" x14ac:dyDescent="0.25">
      <c r="C73" s="1" t="s">
        <v>49</v>
      </c>
      <c r="D73" s="1" t="s">
        <v>40</v>
      </c>
      <c r="E73" s="531">
        <v>2</v>
      </c>
    </row>
    <row r="74" spans="1:7" x14ac:dyDescent="0.25">
      <c r="D74" s="358" t="s">
        <v>54</v>
      </c>
    </row>
    <row r="75" spans="1:7" x14ac:dyDescent="0.25">
      <c r="D75" s="1" t="s">
        <v>42</v>
      </c>
    </row>
    <row r="76" spans="1:7" x14ac:dyDescent="0.25">
      <c r="D76" s="1" t="s">
        <v>43</v>
      </c>
    </row>
    <row r="77" spans="1:7" x14ac:dyDescent="0.25">
      <c r="D77" s="1" t="s">
        <v>44</v>
      </c>
    </row>
    <row r="79" spans="1:7" x14ac:dyDescent="0.25">
      <c r="B79" s="1" t="s">
        <v>202</v>
      </c>
      <c r="C79" s="1" t="s">
        <v>203</v>
      </c>
      <c r="D79" s="1" t="s">
        <v>204</v>
      </c>
    </row>
    <row r="80" spans="1:7" x14ac:dyDescent="0.25">
      <c r="A80">
        <v>1</v>
      </c>
      <c r="B80" t="s">
        <v>176</v>
      </c>
      <c r="C80" s="551">
        <v>9</v>
      </c>
      <c r="D80" s="551" t="str">
        <f>""</f>
        <v/>
      </c>
    </row>
    <row r="81" spans="1:9" x14ac:dyDescent="0.25">
      <c r="A81">
        <v>2</v>
      </c>
      <c r="C81" s="538">
        <v>9.5</v>
      </c>
      <c r="D81" s="538" t="str">
        <f>IF(J7=TRUE,IF(C87&gt;1,"",9.5),"")</f>
        <v/>
      </c>
    </row>
    <row r="82" spans="1:9" x14ac:dyDescent="0.25">
      <c r="A82">
        <v>3</v>
      </c>
      <c r="C82" s="538">
        <v>10</v>
      </c>
      <c r="D82" s="538" t="str">
        <f>IF(J7=TRUE,IF(C87&gt;2,"",10),"")</f>
        <v/>
      </c>
    </row>
    <row r="83" spans="1:9" x14ac:dyDescent="0.25">
      <c r="A83">
        <v>4</v>
      </c>
      <c r="C83" s="538">
        <v>10.5</v>
      </c>
      <c r="D83" s="538" t="str">
        <f>IF(J7=TRUE,IF(C87&gt;3,"",10.5),"")</f>
        <v/>
      </c>
    </row>
    <row r="84" spans="1:9" x14ac:dyDescent="0.25">
      <c r="A84">
        <v>5</v>
      </c>
      <c r="C84" s="538">
        <v>11</v>
      </c>
      <c r="D84" s="538" t="str">
        <f>IF(J7=TRUE,IF(C87&gt;4,"",11),"")</f>
        <v/>
      </c>
    </row>
    <row r="85" spans="1:9" x14ac:dyDescent="0.25">
      <c r="A85">
        <v>6</v>
      </c>
      <c r="C85" s="538">
        <v>11.5</v>
      </c>
      <c r="D85" s="538" t="str">
        <f>IF(J7=TRUE,IF(C87&gt;5,"",11.5),"")</f>
        <v/>
      </c>
    </row>
    <row r="86" spans="1:9" x14ac:dyDescent="0.25">
      <c r="A86">
        <v>7</v>
      </c>
      <c r="C86" s="552">
        <v>12</v>
      </c>
      <c r="D86" s="552" t="str">
        <f>IF(J7=TRUE,IF(C87&gt;6,"",12),"")</f>
        <v/>
      </c>
    </row>
    <row r="87" spans="1:9" x14ac:dyDescent="0.25">
      <c r="B87" s="1" t="s">
        <v>179</v>
      </c>
      <c r="C87" s="531">
        <v>7</v>
      </c>
      <c r="D87" s="531">
        <v>6</v>
      </c>
      <c r="E87" s="535">
        <f>VLOOKUP(C87,A80:C86,3)</f>
        <v>12</v>
      </c>
      <c r="F87" s="535" t="str">
        <f>VLOOKUP(D87,A80:D83,4)</f>
        <v/>
      </c>
    </row>
    <row r="88" spans="1:9" x14ac:dyDescent="0.25">
      <c r="A88">
        <v>1</v>
      </c>
      <c r="B88" t="s">
        <v>177</v>
      </c>
      <c r="C88" s="553">
        <v>0</v>
      </c>
      <c r="D88" s="553" t="str">
        <f>""</f>
        <v/>
      </c>
    </row>
    <row r="89" spans="1:9" x14ac:dyDescent="0.25">
      <c r="A89">
        <v>2</v>
      </c>
      <c r="C89" s="539">
        <v>1</v>
      </c>
      <c r="D89" s="539" t="str">
        <f>IF(J8=TRUE,IF($C$97&gt;IF(F92=1,1,2),"",1),"")</f>
        <v/>
      </c>
      <c r="F89" s="1" t="s">
        <v>389</v>
      </c>
      <c r="H89" s="1" t="s">
        <v>390</v>
      </c>
    </row>
    <row r="90" spans="1:9" x14ac:dyDescent="0.25">
      <c r="A90">
        <v>3</v>
      </c>
      <c r="C90" s="539">
        <v>2</v>
      </c>
      <c r="D90" s="539" t="str">
        <f>IF(J8=TRUE,IF($C$97&gt;IF(F92=1,2,3),"",2),"")</f>
        <v/>
      </c>
      <c r="F90" s="533" t="s">
        <v>387</v>
      </c>
      <c r="H90" s="533" t="str">
        <f>IF(J9=TRUE,"Paved","")</f>
        <v/>
      </c>
    </row>
    <row r="91" spans="1:9" x14ac:dyDescent="0.25">
      <c r="A91">
        <v>4</v>
      </c>
      <c r="C91" s="539">
        <v>3</v>
      </c>
      <c r="D91" s="539" t="str">
        <f>IF(J8=TRUE,IF($C$97&gt;IF(F92=1,3,4),"",3),"")</f>
        <v/>
      </c>
      <c r="F91" s="533" t="s">
        <v>388</v>
      </c>
      <c r="H91" s="540" t="str">
        <f>IF(J9=TRUE,IF(F92=1,"Paved","Unpaved"),"")</f>
        <v/>
      </c>
    </row>
    <row r="92" spans="1:9" x14ac:dyDescent="0.25">
      <c r="A92">
        <v>5</v>
      </c>
      <c r="C92" s="539">
        <v>4</v>
      </c>
      <c r="D92" s="539" t="str">
        <f>IF(J8=TRUE,IF($C$97&gt;IF(F92=1,4,5),"",4),"")</f>
        <v/>
      </c>
      <c r="F92" s="531">
        <v>1</v>
      </c>
      <c r="G92" s="535" t="str">
        <f>IF(F92=1,"Paved","Unpaved")</f>
        <v>Paved</v>
      </c>
      <c r="H92" s="531">
        <v>1</v>
      </c>
      <c r="I92" s="535" t="str">
        <f>IF(J9=TRUE,IF(H92=1,"Paved","Unpaved"),G92)</f>
        <v>Paved</v>
      </c>
    </row>
    <row r="93" spans="1:9" x14ac:dyDescent="0.25">
      <c r="A93">
        <v>6</v>
      </c>
      <c r="C93" s="539">
        <v>5</v>
      </c>
      <c r="D93" s="539" t="str">
        <f>IF(J8=TRUE,IF($C$97&gt;IF(F92=1,5,6),"",5),"")</f>
        <v/>
      </c>
    </row>
    <row r="94" spans="1:9" x14ac:dyDescent="0.25">
      <c r="A94">
        <v>7</v>
      </c>
      <c r="C94" s="539">
        <v>6</v>
      </c>
      <c r="D94" s="539" t="str">
        <f>IF(J8=TRUE,IF($C$97&gt;IF(F92=1,6,7),"",6),"")</f>
        <v/>
      </c>
    </row>
    <row r="95" spans="1:9" x14ac:dyDescent="0.25">
      <c r="A95">
        <v>8</v>
      </c>
      <c r="C95" s="539">
        <v>7</v>
      </c>
      <c r="D95" s="539" t="str">
        <f>IF(J8=TRUE,IF($C$97&gt;IF(F92=1,7,8),"",7),"")</f>
        <v/>
      </c>
    </row>
    <row r="96" spans="1:9" x14ac:dyDescent="0.25">
      <c r="A96">
        <v>9</v>
      </c>
      <c r="C96" s="541">
        <v>8</v>
      </c>
      <c r="D96" s="541" t="str">
        <f>IF(J8=TRUE,IF($C$97&gt;IF(F92=1,8,9),"",8),"")</f>
        <v/>
      </c>
    </row>
    <row r="97" spans="1:6" x14ac:dyDescent="0.25">
      <c r="B97" s="1" t="s">
        <v>180</v>
      </c>
      <c r="C97" s="531">
        <v>3</v>
      </c>
      <c r="D97" s="531">
        <v>9</v>
      </c>
      <c r="E97" s="535">
        <f>VLOOKUP(C97,A88:D96,3)</f>
        <v>2</v>
      </c>
      <c r="F97" s="535" t="str">
        <f>VLOOKUP(D97,A88:D96,4)</f>
        <v/>
      </c>
    </row>
    <row r="98" spans="1:6" x14ac:dyDescent="0.25">
      <c r="A98">
        <v>1</v>
      </c>
      <c r="B98" t="s">
        <v>178</v>
      </c>
      <c r="C98" s="537">
        <v>0</v>
      </c>
      <c r="D98" s="537"/>
    </row>
    <row r="99" spans="1:6" x14ac:dyDescent="0.25">
      <c r="A99">
        <v>2</v>
      </c>
      <c r="B99" s="549" t="s">
        <v>744</v>
      </c>
      <c r="C99" s="537">
        <v>2</v>
      </c>
      <c r="D99" s="537" t="str">
        <f>IF(J9=TRUE,IF($C$103&gt;1,"",2),"")</f>
        <v/>
      </c>
    </row>
    <row r="100" spans="1:6" x14ac:dyDescent="0.25">
      <c r="A100">
        <v>3</v>
      </c>
      <c r="B100" s="549" t="s">
        <v>745</v>
      </c>
      <c r="C100" s="537">
        <v>4</v>
      </c>
      <c r="D100" s="537" t="str">
        <f>IF(J9=TRUE,IF($C$103&gt;2,"",4),"")</f>
        <v/>
      </c>
    </row>
    <row r="101" spans="1:6" x14ac:dyDescent="0.25">
      <c r="A101">
        <v>4</v>
      </c>
      <c r="C101" s="537">
        <v>6</v>
      </c>
      <c r="D101" s="537" t="str">
        <f>IF(J9=TRUE,IF($C$103&gt;3,"",6),"")</f>
        <v/>
      </c>
    </row>
    <row r="102" spans="1:6" x14ac:dyDescent="0.25">
      <c r="A102">
        <v>5</v>
      </c>
      <c r="C102" s="537">
        <v>8</v>
      </c>
      <c r="D102" s="537" t="str">
        <f>IF(J9=TRUE,IF($C$103&gt;4,"",8),"")</f>
        <v/>
      </c>
    </row>
    <row r="103" spans="1:6" x14ac:dyDescent="0.25">
      <c r="B103" s="1" t="s">
        <v>181</v>
      </c>
      <c r="C103" s="531">
        <v>1</v>
      </c>
      <c r="D103" s="531">
        <v>2</v>
      </c>
      <c r="E103" s="535">
        <f>VLOOKUP(C103,A98:C102,3)</f>
        <v>0</v>
      </c>
      <c r="F103" s="535" t="str">
        <f>VLOOKUP(D103,A98:D102,4)</f>
        <v/>
      </c>
    </row>
    <row r="104" spans="1:6" x14ac:dyDescent="0.25">
      <c r="A104">
        <v>1</v>
      </c>
      <c r="B104" t="s">
        <v>175</v>
      </c>
      <c r="C104" s="533" t="s">
        <v>182</v>
      </c>
      <c r="D104" s="533"/>
    </row>
    <row r="105" spans="1:6" x14ac:dyDescent="0.25">
      <c r="A105">
        <v>2</v>
      </c>
      <c r="C105" s="533" t="s">
        <v>183</v>
      </c>
      <c r="D105" s="533" t="str">
        <f>IF(J10=TRUE,IF($C$108&gt;1,"","1V:3H"),"")</f>
        <v/>
      </c>
    </row>
    <row r="106" spans="1:6" x14ac:dyDescent="0.25">
      <c r="A106">
        <v>3</v>
      </c>
      <c r="C106" s="533" t="s">
        <v>184</v>
      </c>
      <c r="D106" s="533" t="str">
        <f>IF(J10=TRUE,IF($C$108&gt;2,"","1V:4H"),"")</f>
        <v/>
      </c>
    </row>
    <row r="107" spans="1:6" x14ac:dyDescent="0.25">
      <c r="A107">
        <v>4</v>
      </c>
      <c r="C107" s="540" t="s">
        <v>185</v>
      </c>
      <c r="D107" s="540" t="str">
        <f>IF(J10=TRUE,IF($C$108&gt;3,"","1V:6H"),"")</f>
        <v/>
      </c>
    </row>
    <row r="108" spans="1:6" x14ac:dyDescent="0.25">
      <c r="B108" s="1" t="s">
        <v>741</v>
      </c>
      <c r="C108" s="531">
        <v>1</v>
      </c>
      <c r="D108" s="531">
        <v>4</v>
      </c>
      <c r="E108" s="535" t="str">
        <f>VLOOKUP(C108,A104:C107,3)</f>
        <v>1V:2H</v>
      </c>
      <c r="F108" s="535" t="str">
        <f>VLOOKUP(D108,A104:D107,4)</f>
        <v/>
      </c>
    </row>
    <row r="109" spans="1:6" x14ac:dyDescent="0.25">
      <c r="B109" s="1" t="s">
        <v>73</v>
      </c>
      <c r="C109" s="533" t="str">
        <f>IF(D124=1,"Yes","Not Applicable")</f>
        <v>Yes</v>
      </c>
    </row>
    <row r="110" spans="1:6" x14ac:dyDescent="0.25">
      <c r="B110" s="1"/>
      <c r="C110" s="533" t="str">
        <f>IF(D124=1,"No","Not Applicable")</f>
        <v>No</v>
      </c>
    </row>
    <row r="111" spans="1:6" x14ac:dyDescent="0.25">
      <c r="B111" s="1" t="s">
        <v>188</v>
      </c>
      <c r="C111" s="531">
        <v>2</v>
      </c>
    </row>
    <row r="112" spans="1:6" x14ac:dyDescent="0.25">
      <c r="B112" s="1" t="s">
        <v>74</v>
      </c>
      <c r="C112" s="533" t="s">
        <v>186</v>
      </c>
    </row>
    <row r="113" spans="1:5" x14ac:dyDescent="0.25">
      <c r="B113" s="1"/>
      <c r="C113" s="533" t="s">
        <v>187</v>
      </c>
    </row>
    <row r="114" spans="1:5" x14ac:dyDescent="0.25">
      <c r="B114" s="1" t="s">
        <v>189</v>
      </c>
      <c r="C114" s="531">
        <v>2</v>
      </c>
    </row>
    <row r="115" spans="1:5" x14ac:dyDescent="0.25">
      <c r="B115" s="1" t="s">
        <v>194</v>
      </c>
      <c r="C115" s="533" t="s">
        <v>186</v>
      </c>
    </row>
    <row r="116" spans="1:5" x14ac:dyDescent="0.25">
      <c r="B116" s="1"/>
      <c r="C116" s="533" t="s">
        <v>187</v>
      </c>
    </row>
    <row r="119" spans="1:5" x14ac:dyDescent="0.25">
      <c r="D119" s="548" t="s">
        <v>743</v>
      </c>
      <c r="E119" s="531">
        <v>1</v>
      </c>
    </row>
    <row r="120" spans="1:5" x14ac:dyDescent="0.25">
      <c r="D120" s="548" t="s">
        <v>264</v>
      </c>
      <c r="E120" s="531">
        <v>1</v>
      </c>
    </row>
    <row r="121" spans="1:5" x14ac:dyDescent="0.25">
      <c r="D121" s="548" t="s">
        <v>271</v>
      </c>
      <c r="E121" s="531">
        <v>1</v>
      </c>
    </row>
    <row r="122" spans="1:5" x14ac:dyDescent="0.25">
      <c r="D122" s="548" t="s">
        <v>270</v>
      </c>
      <c r="E122" s="531">
        <v>1</v>
      </c>
    </row>
    <row r="124" spans="1:5" x14ac:dyDescent="0.25">
      <c r="B124" s="1" t="s">
        <v>354</v>
      </c>
      <c r="C124" s="533" t="s">
        <v>353</v>
      </c>
      <c r="D124" s="531">
        <v>1</v>
      </c>
    </row>
    <row r="125" spans="1:5" x14ac:dyDescent="0.25">
      <c r="B125" s="1"/>
      <c r="C125" s="533" t="s">
        <v>352</v>
      </c>
      <c r="D125" s="1"/>
    </row>
    <row r="126" spans="1:5" x14ac:dyDescent="0.25">
      <c r="A126" t="s">
        <v>275</v>
      </c>
    </row>
    <row r="128" spans="1:5" x14ac:dyDescent="0.25">
      <c r="A128" s="1" t="s">
        <v>59</v>
      </c>
      <c r="B128" s="1" t="s">
        <v>276</v>
      </c>
      <c r="C128" s="1" t="s">
        <v>277</v>
      </c>
      <c r="D128" s="1" t="s">
        <v>278</v>
      </c>
    </row>
    <row r="129" spans="1:5" x14ac:dyDescent="0.25">
      <c r="A129" s="1">
        <v>9</v>
      </c>
      <c r="B129" s="1">
        <f>IF($D$124=1,1.04,1.03)</f>
        <v>1.04</v>
      </c>
      <c r="C129" s="1">
        <f>IF($D$124=1,1.04+2.13*10^(-4)*('R4UD_Project'!$C$6-400),1.03+1.38*10^(-4)*('R4UD_Project'!$C$6-400))</f>
        <v>5.2148000000000003</v>
      </c>
      <c r="D129" s="1">
        <f>IF($D$124=1,1.38,1.25)</f>
        <v>1.38</v>
      </c>
    </row>
    <row r="130" spans="1:5" x14ac:dyDescent="0.25">
      <c r="A130" s="1">
        <v>9.5</v>
      </c>
      <c r="B130" s="1">
        <f>0.5*(B129+B131)</f>
        <v>1.03</v>
      </c>
      <c r="C130" s="1">
        <f>0.5*(C129+C131)</f>
        <v>4.4012000000000002</v>
      </c>
      <c r="D130" s="1">
        <f>0.5*(D129+D131)</f>
        <v>1.3049999999999999</v>
      </c>
    </row>
    <row r="131" spans="1:5" x14ac:dyDescent="0.25">
      <c r="A131" s="1">
        <v>10</v>
      </c>
      <c r="B131" s="1">
        <f>IF($D$124=1,1.02,1.01)</f>
        <v>1.02</v>
      </c>
      <c r="C131" s="1">
        <f>IF($D$124=1,1.02+1.31*10^(-4)*('R4UD_Project'!$C$6-400),1.01+8.75*10^(-4)*('R4UD_Project'!$C$6-400))</f>
        <v>3.5876000000000001</v>
      </c>
      <c r="D131" s="1">
        <f>IF($D$124=1,1.23,1.15)</f>
        <v>1.23</v>
      </c>
    </row>
    <row r="132" spans="1:5" x14ac:dyDescent="0.25">
      <c r="A132" s="1">
        <v>10.5</v>
      </c>
      <c r="B132" s="1">
        <f>0.5*(B131+B133)</f>
        <v>1.0150000000000001</v>
      </c>
      <c r="C132" s="1">
        <f>0.5*(C131+C133)</f>
        <v>2.4830399999999999</v>
      </c>
      <c r="D132" s="1">
        <f>0.5*(D131+D133)</f>
        <v>1.135</v>
      </c>
    </row>
    <row r="133" spans="1:5" x14ac:dyDescent="0.25">
      <c r="A133" s="1">
        <v>11</v>
      </c>
      <c r="B133" s="1">
        <f>IF($D$124=1,1.01,1.01)</f>
        <v>1.01</v>
      </c>
      <c r="C133" s="1">
        <f>IF($D$124=1,1.01+1.88*10^(-5)*('R4UD_Project'!$C$6-400),1.01+1.25*10^(-5)*('R4UD_Project'!$C$6-400))</f>
        <v>1.3784799999999999</v>
      </c>
      <c r="D133" s="1">
        <f>IF($D$124=1,1.04,1.03)</f>
        <v>1.04</v>
      </c>
    </row>
    <row r="134" spans="1:5" x14ac:dyDescent="0.25">
      <c r="A134" s="1">
        <v>11.5</v>
      </c>
      <c r="B134" s="1">
        <f>0.5*(B133+B135)</f>
        <v>1.0049999999999999</v>
      </c>
      <c r="C134" s="1">
        <f>0.5*(C133+C135)</f>
        <v>1.1892399999999999</v>
      </c>
      <c r="D134" s="1">
        <f>0.5*(D133+D135)</f>
        <v>1.02</v>
      </c>
    </row>
    <row r="135" spans="1:5" x14ac:dyDescent="0.25">
      <c r="A135" s="1">
        <v>12</v>
      </c>
      <c r="B135" s="1">
        <f>IF($D$124=1,1,1)</f>
        <v>1</v>
      </c>
      <c r="C135" s="1">
        <v>1</v>
      </c>
      <c r="D135" s="1">
        <v>1</v>
      </c>
    </row>
    <row r="137" spans="1:5" x14ac:dyDescent="0.25">
      <c r="A137" s="1" t="s">
        <v>300</v>
      </c>
      <c r="B137" s="1">
        <v>2</v>
      </c>
    </row>
    <row r="138" spans="1:5" x14ac:dyDescent="0.25">
      <c r="A138" s="1" t="s">
        <v>277</v>
      </c>
      <c r="B138" s="1">
        <v>3</v>
      </c>
    </row>
    <row r="139" spans="1:5" x14ac:dyDescent="0.25">
      <c r="A139" s="545" t="s">
        <v>299</v>
      </c>
      <c r="B139" s="545">
        <v>4</v>
      </c>
    </row>
    <row r="140" spans="1:5" x14ac:dyDescent="0.25">
      <c r="A140" s="1" t="s">
        <v>279</v>
      </c>
      <c r="B140" s="1" t="s">
        <v>276</v>
      </c>
      <c r="C140" s="1" t="s">
        <v>277</v>
      </c>
      <c r="D140" s="1" t="s">
        <v>278</v>
      </c>
      <c r="E140" s="1" t="s">
        <v>415</v>
      </c>
    </row>
    <row r="141" spans="1:5" x14ac:dyDescent="0.25">
      <c r="A141" s="1">
        <v>0</v>
      </c>
      <c r="B141" s="1">
        <v>1.1000000000000001</v>
      </c>
      <c r="C141" s="1">
        <f>1.1+2.5*10^(-4)*('R4UD_Project'!C6-400)</f>
        <v>6</v>
      </c>
      <c r="D141" s="1">
        <v>1.5</v>
      </c>
      <c r="E141" s="1">
        <v>1.18</v>
      </c>
    </row>
    <row r="142" spans="1:5" x14ac:dyDescent="0.25">
      <c r="A142" s="1">
        <v>1</v>
      </c>
      <c r="B142" s="1">
        <f>0.5*(B141+B143)</f>
        <v>1.085</v>
      </c>
      <c r="C142" s="1">
        <f>0.5*(C141+C143)</f>
        <v>4.9363999999999999</v>
      </c>
      <c r="D142" s="1">
        <f>0.5*(D141+D143)</f>
        <v>1.4</v>
      </c>
      <c r="E142" s="1">
        <v>1.155</v>
      </c>
    </row>
    <row r="143" spans="1:5" x14ac:dyDescent="0.25">
      <c r="A143" s="1">
        <v>2</v>
      </c>
      <c r="B143" s="1">
        <v>1.07</v>
      </c>
      <c r="C143" s="1">
        <f>1.07+1.43*10^(-4)*('R4UD_Project'!C6-400)</f>
        <v>3.8727999999999998</v>
      </c>
      <c r="D143" s="1">
        <v>1.3</v>
      </c>
      <c r="E143" s="1">
        <v>1.1299999999999999</v>
      </c>
    </row>
    <row r="144" spans="1:5" x14ac:dyDescent="0.25">
      <c r="A144" s="1">
        <v>3</v>
      </c>
      <c r="B144" s="1">
        <f>0.5*(B143+B145)</f>
        <v>1.0449999999999999</v>
      </c>
      <c r="C144" s="1">
        <f>0.5*(C143+C145)</f>
        <v>3.2426500000000003</v>
      </c>
      <c r="D144" s="1">
        <f>0.5*(D143+D145)</f>
        <v>1.2250000000000001</v>
      </c>
      <c r="E144" s="1">
        <v>1.1100000000000001</v>
      </c>
    </row>
    <row r="145" spans="1:10" x14ac:dyDescent="0.25">
      <c r="A145" s="1">
        <v>4</v>
      </c>
      <c r="B145" s="1">
        <v>1.02</v>
      </c>
      <c r="C145" s="1">
        <f>1.02+8.125*10^(-5)*('R4UD_Project'!C6-400)</f>
        <v>2.6125000000000003</v>
      </c>
      <c r="D145" s="1">
        <v>1.1499999999999999</v>
      </c>
      <c r="E145" s="1">
        <v>1.0900000000000001</v>
      </c>
    </row>
    <row r="146" spans="1:10" x14ac:dyDescent="0.25">
      <c r="A146" s="1">
        <v>5</v>
      </c>
      <c r="B146" s="1">
        <f>0.5*(B145+B147)</f>
        <v>1.01</v>
      </c>
      <c r="C146" s="1">
        <f>0.5*(C145+C147)</f>
        <v>1.8062500000000001</v>
      </c>
      <c r="D146" s="1">
        <f>0.5*(D145+D147)</f>
        <v>1.075</v>
      </c>
      <c r="E146" s="1">
        <v>1.0649999999999999</v>
      </c>
    </row>
    <row r="147" spans="1:10" x14ac:dyDescent="0.25">
      <c r="A147" s="1">
        <v>6</v>
      </c>
      <c r="B147" s="1">
        <v>1</v>
      </c>
      <c r="C147" s="1">
        <v>1</v>
      </c>
      <c r="D147" s="1">
        <v>1</v>
      </c>
      <c r="E147" s="1">
        <v>1.04</v>
      </c>
    </row>
    <row r="148" spans="1:10" x14ac:dyDescent="0.25">
      <c r="A148" s="1">
        <v>7</v>
      </c>
      <c r="B148" s="1">
        <f>0.5*(B147+B149)</f>
        <v>0.99</v>
      </c>
      <c r="C148" s="1">
        <f>0.5*(C147+C149)</f>
        <v>0.31624999999999992</v>
      </c>
      <c r="D148" s="1">
        <f>0.5*(D147+D149)</f>
        <v>0.93500000000000005</v>
      </c>
      <c r="E148" s="1">
        <v>1.02</v>
      </c>
    </row>
    <row r="149" spans="1:10" x14ac:dyDescent="0.25">
      <c r="A149" s="1">
        <v>8</v>
      </c>
      <c r="B149" s="1">
        <v>0.98</v>
      </c>
      <c r="C149" s="1">
        <f>0.98-6.875*10^(-5)*('R4UD_Project'!C6-400)</f>
        <v>-0.36750000000000016</v>
      </c>
      <c r="D149" s="1">
        <v>0.87</v>
      </c>
      <c r="E149" s="1">
        <v>1</v>
      </c>
    </row>
    <row r="152" spans="1:10" x14ac:dyDescent="0.25">
      <c r="A152" s="1" t="s">
        <v>300</v>
      </c>
      <c r="B152" s="1">
        <v>2</v>
      </c>
    </row>
    <row r="153" spans="1:10" x14ac:dyDescent="0.25">
      <c r="A153" s="1" t="s">
        <v>277</v>
      </c>
      <c r="B153" s="1">
        <v>3</v>
      </c>
    </row>
    <row r="154" spans="1:10" x14ac:dyDescent="0.25">
      <c r="A154" s="1" t="s">
        <v>299</v>
      </c>
      <c r="B154" s="1">
        <v>4</v>
      </c>
    </row>
    <row r="157" spans="1:10" x14ac:dyDescent="0.25">
      <c r="A157" s="1" t="s">
        <v>280</v>
      </c>
      <c r="B157" s="1">
        <v>0</v>
      </c>
      <c r="C157">
        <v>1</v>
      </c>
      <c r="D157">
        <v>2</v>
      </c>
      <c r="E157">
        <v>3</v>
      </c>
      <c r="F157">
        <v>4</v>
      </c>
      <c r="G157">
        <v>5</v>
      </c>
      <c r="H157">
        <v>6</v>
      </c>
      <c r="I157">
        <v>7</v>
      </c>
      <c r="J157">
        <v>8</v>
      </c>
    </row>
    <row r="158" spans="1:10" x14ac:dyDescent="0.25">
      <c r="A158" s="1">
        <v>1</v>
      </c>
      <c r="B158" s="1">
        <v>1</v>
      </c>
      <c r="C158">
        <v>1</v>
      </c>
      <c r="D158">
        <v>1</v>
      </c>
      <c r="E158">
        <v>1</v>
      </c>
      <c r="F158">
        <v>1</v>
      </c>
      <c r="G158">
        <v>1</v>
      </c>
      <c r="H158">
        <v>1</v>
      </c>
      <c r="I158">
        <v>1</v>
      </c>
      <c r="J158">
        <v>1</v>
      </c>
    </row>
    <row r="159" spans="1:10" x14ac:dyDescent="0.25">
      <c r="A159" s="1">
        <v>2</v>
      </c>
      <c r="B159" s="1">
        <v>1</v>
      </c>
      <c r="C159">
        <v>1</v>
      </c>
      <c r="D159">
        <v>1.01</v>
      </c>
      <c r="E159">
        <v>1.01</v>
      </c>
      <c r="F159">
        <v>1.01</v>
      </c>
      <c r="G159">
        <v>1.0149999999999999</v>
      </c>
      <c r="H159">
        <v>1.02</v>
      </c>
      <c r="I159">
        <v>1.02</v>
      </c>
      <c r="J159">
        <v>1.02</v>
      </c>
    </row>
    <row r="160" spans="1:10" x14ac:dyDescent="0.25">
      <c r="A160" s="1">
        <v>3</v>
      </c>
      <c r="B160" s="1">
        <v>1</v>
      </c>
      <c r="D160">
        <v>1.02</v>
      </c>
      <c r="F160">
        <v>1.03</v>
      </c>
      <c r="H160">
        <v>1.04</v>
      </c>
      <c r="J160">
        <v>1.06</v>
      </c>
    </row>
    <row r="161" spans="1:10" x14ac:dyDescent="0.25">
      <c r="A161" s="1">
        <v>4</v>
      </c>
      <c r="B161" s="1">
        <v>1</v>
      </c>
      <c r="D161">
        <v>1.03</v>
      </c>
      <c r="F161">
        <v>1.05</v>
      </c>
      <c r="H161">
        <v>1.08</v>
      </c>
      <c r="J161">
        <v>1.1100000000000001</v>
      </c>
    </row>
    <row r="162" spans="1:10" x14ac:dyDescent="0.25">
      <c r="A162" s="1">
        <f>F92</f>
        <v>1</v>
      </c>
      <c r="B162" s="1">
        <f>IF(I92="Paved",1,2)</f>
        <v>1</v>
      </c>
    </row>
    <row r="164" spans="1:10" x14ac:dyDescent="0.25">
      <c r="A164" s="1">
        <v>0</v>
      </c>
      <c r="B164" s="1">
        <v>2</v>
      </c>
    </row>
    <row r="165" spans="1:10" x14ac:dyDescent="0.25">
      <c r="A165" s="1">
        <v>1</v>
      </c>
      <c r="B165" s="1">
        <v>3</v>
      </c>
    </row>
    <row r="166" spans="1:10" x14ac:dyDescent="0.25">
      <c r="A166" s="1">
        <v>2</v>
      </c>
      <c r="B166" s="1">
        <v>4</v>
      </c>
    </row>
    <row r="167" spans="1:10" x14ac:dyDescent="0.25">
      <c r="A167" s="1">
        <v>3</v>
      </c>
      <c r="B167" s="1">
        <v>5</v>
      </c>
    </row>
    <row r="168" spans="1:10" x14ac:dyDescent="0.25">
      <c r="A168" s="1">
        <v>4</v>
      </c>
      <c r="B168" s="1">
        <v>6</v>
      </c>
    </row>
    <row r="169" spans="1:10" x14ac:dyDescent="0.25">
      <c r="A169" s="1">
        <v>5</v>
      </c>
      <c r="B169" s="1">
        <v>7</v>
      </c>
    </row>
    <row r="170" spans="1:10" x14ac:dyDescent="0.25">
      <c r="A170" s="1">
        <v>6</v>
      </c>
      <c r="B170" s="1">
        <v>8</v>
      </c>
    </row>
    <row r="171" spans="1:10" x14ac:dyDescent="0.25">
      <c r="A171" s="1">
        <v>7</v>
      </c>
      <c r="B171" s="1">
        <v>9</v>
      </c>
    </row>
    <row r="172" spans="1:10" x14ac:dyDescent="0.25">
      <c r="A172" s="1">
        <v>8</v>
      </c>
      <c r="B172" s="1">
        <v>10</v>
      </c>
    </row>
    <row r="175" spans="1:10" x14ac:dyDescent="0.25">
      <c r="A175" s="1" t="s">
        <v>283</v>
      </c>
      <c r="B175" s="1"/>
    </row>
    <row r="176" spans="1:10" x14ac:dyDescent="0.25">
      <c r="A176" s="1" t="s">
        <v>182</v>
      </c>
      <c r="B176" s="1">
        <v>1.18</v>
      </c>
    </row>
    <row r="177" spans="1:2" x14ac:dyDescent="0.25">
      <c r="A177" s="1" t="s">
        <v>183</v>
      </c>
      <c r="B177" s="1">
        <v>1.1499999999999999</v>
      </c>
    </row>
    <row r="178" spans="1:2" x14ac:dyDescent="0.25">
      <c r="A178" s="1" t="s">
        <v>184</v>
      </c>
      <c r="B178" s="1">
        <v>1.1200000000000001</v>
      </c>
    </row>
    <row r="179" spans="1:2" x14ac:dyDescent="0.25">
      <c r="A179" s="1" t="s">
        <v>185</v>
      </c>
      <c r="B179" s="1">
        <v>1.05</v>
      </c>
    </row>
  </sheetData>
  <mergeCells count="3">
    <mergeCell ref="B8:B10"/>
    <mergeCell ref="B12:B13"/>
    <mergeCell ref="I14:L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ReadMe</vt:lpstr>
      <vt:lpstr>R2U_Project</vt:lpstr>
      <vt:lpstr>R2U_Setup</vt:lpstr>
      <vt:lpstr>R2U_Calculations</vt:lpstr>
      <vt:lpstr>R2U_Ref</vt:lpstr>
      <vt:lpstr>R4UD_Project</vt:lpstr>
      <vt:lpstr>R4UD_Setup</vt:lpstr>
      <vt:lpstr>R4UD_Calculations</vt:lpstr>
      <vt:lpstr>R4UD_Ref</vt:lpstr>
      <vt:lpstr>FWY_Project</vt:lpstr>
      <vt:lpstr>FWY_Setup</vt:lpstr>
      <vt:lpstr>FWY_Calculations</vt:lpstr>
      <vt:lpstr>FWY_Ref</vt:lpstr>
      <vt:lpstr>FWYS_eRef</vt:lpstr>
      <vt:lpstr>R4UD_eRef</vt:lpstr>
      <vt:lpstr>R2U_eRef</vt:lpstr>
      <vt:lpstr>'R2U_Project'!Print_Area</vt:lpstr>
      <vt:lpstr>'R4UD_Project'!Print_Area</vt:lpstr>
    </vt:vector>
  </TitlesOfParts>
  <Company>MRIGlobal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Dan</dc:creator>
  <cp:lastModifiedBy>Sanford, Adam</cp:lastModifiedBy>
  <cp:lastPrinted>2020-10-16T20:34:03Z</cp:lastPrinted>
  <dcterms:created xsi:type="dcterms:W3CDTF">2015-06-08T18:40:15Z</dcterms:created>
  <dcterms:modified xsi:type="dcterms:W3CDTF">2021-10-22T21:40:52Z</dcterms:modified>
</cp:coreProperties>
</file>