
<file path=[Content_Types].xml><?xml version="1.0" encoding="utf-8"?>
<Types xmlns="http://schemas.openxmlformats.org/package/2006/content-types">
  <Default Extension="bin" ContentType="application/vnd.openxmlformats-officedocument.spreadsheetml.printerSettings"/>
  <Override PartName="/xl/charts/chart6.xml" ContentType="application/vnd.openxmlformats-officedocument.drawingml.chart+xml"/>
  <Override PartName="/xl/charts/chart7.xml" ContentType="application/vnd.openxmlformats-officedocument.drawingml.chart+xml"/>
  <Override PartName="/xl/worksheets/sheet9.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charts/chart4.xml" ContentType="application/vnd.openxmlformats-officedocument.drawingml.chart+xml"/>
  <Override PartName="/xl/charts/chart5.xml" ContentType="application/vnd.openxmlformats-officedocument.drawingml.char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charts/chart2.xml" ContentType="application/vnd.openxmlformats-officedocument.drawingml.chart+xml"/>
  <Override PartName="/xl/charts/chart3.xml" ContentType="application/vnd.openxmlformats-officedocument.drawingml.chart+xml"/>
  <Override PartName="/xl/drawings/drawing4.xml" ContentType="application/vnd.openxmlformats-officedocument.drawing+xml"/>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charts/chart1.xml" ContentType="application/vnd.openxmlformats-officedocument.drawingml.char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Default Extension="tiff" ContentType="image/tiff"/>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6"/>
  <workbookPr codeName="ThisWorkbook" defaultThemeVersion="124226"/>
  <bookViews>
    <workbookView xWindow="10410" yWindow="-15" windowWidth="8835" windowHeight="8670"/>
  </bookViews>
  <sheets>
    <sheet name="Warrant 1" sheetId="4" r:id="rId1"/>
    <sheet name="Warrant 2" sheetId="5" r:id="rId2"/>
    <sheet name="Warrant 3" sheetId="7" r:id="rId3"/>
    <sheet name="Warrant 4" sheetId="17" r:id="rId4"/>
    <sheet name="Warrant 5&amp;6" sheetId="12" r:id="rId5"/>
    <sheet name="Warrant 7&amp;8" sheetId="13" r:id="rId6"/>
    <sheet name="Warrant 9" sheetId="14" r:id="rId7"/>
    <sheet name="Data" sheetId="3" state="hidden" r:id="rId8"/>
    <sheet name="W2Calc" sheetId="6" state="hidden" r:id="rId9"/>
    <sheet name="W3Calc" sheetId="9" state="hidden" r:id="rId10"/>
    <sheet name="W4Calc" sheetId="11" state="hidden" r:id="rId11"/>
    <sheet name="W9Calc" sheetId="16" state="hidden" r:id="rId12"/>
    <sheet name="Summary" sheetId="18" r:id="rId13"/>
  </sheets>
  <definedNames>
    <definedName name="Divisions" localSheetId="3">#REF!</definedName>
    <definedName name="Divisions">#REF!</definedName>
    <definedName name="_xlnm.Print_Area" localSheetId="0">'Warrant 1'!$A$1:$AK$67</definedName>
    <definedName name="_xlnm.Print_Area" localSheetId="1">'Warrant 2'!$A$1:$AK$68</definedName>
    <definedName name="_xlnm.Print_Area" localSheetId="2">'Warrant 3'!$A$1:$AK$68</definedName>
    <definedName name="_xlnm.Print_Area" localSheetId="3">'Warrant 4'!$A$1:$AK$69</definedName>
  </definedNames>
  <calcPr calcId="125725"/>
</workbook>
</file>

<file path=xl/calcChain.xml><?xml version="1.0" encoding="utf-8"?>
<calcChain xmlns="http://schemas.openxmlformats.org/spreadsheetml/2006/main">
  <c r="AP7" i="14"/>
  <c r="AN54" i="12"/>
  <c r="C49" i="18"/>
  <c r="C39"/>
  <c r="C30"/>
  <c r="C21"/>
  <c r="AG16" i="4"/>
  <c r="AH9" i="18" l="1"/>
  <c r="W10"/>
  <c r="W9"/>
  <c r="Y7"/>
  <c r="Y6"/>
  <c r="Y5"/>
  <c r="Y4"/>
  <c r="G10"/>
  <c r="G9"/>
  <c r="G7"/>
  <c r="G6"/>
  <c r="G5"/>
  <c r="G4"/>
  <c r="AN15" i="12"/>
  <c r="AN15" i="17" l="1"/>
  <c r="AC105" i="9"/>
  <c r="AC104"/>
  <c r="AC103"/>
  <c r="AC102"/>
  <c r="AC101"/>
  <c r="AC100"/>
  <c r="AC99"/>
  <c r="AC98"/>
  <c r="AC97"/>
  <c r="AC96"/>
  <c r="AC95"/>
  <c r="AC94"/>
  <c r="AC93"/>
  <c r="AC92"/>
  <c r="AC91"/>
  <c r="AC90"/>
  <c r="AC89"/>
  <c r="AC88"/>
  <c r="AC87"/>
  <c r="AC86"/>
  <c r="AC85"/>
  <c r="AC84"/>
  <c r="AC83"/>
  <c r="AC82"/>
  <c r="AC81"/>
  <c r="AC80"/>
  <c r="AC79"/>
  <c r="AC78"/>
  <c r="AC77"/>
  <c r="AC76"/>
  <c r="AC75"/>
  <c r="AC74"/>
  <c r="AC73"/>
  <c r="AC72"/>
  <c r="AC71"/>
  <c r="AC70"/>
  <c r="AC69"/>
  <c r="AC68"/>
  <c r="AC67"/>
  <c r="AC66"/>
  <c r="AC65"/>
  <c r="AC64"/>
  <c r="AC63"/>
  <c r="AC62"/>
  <c r="AC61"/>
  <c r="AC60"/>
  <c r="AC59"/>
  <c r="AC58"/>
  <c r="AC57"/>
  <c r="AC56"/>
  <c r="AC55"/>
  <c r="AC54"/>
  <c r="AC53"/>
  <c r="AC52"/>
  <c r="AC51"/>
  <c r="AC50"/>
  <c r="AC49"/>
  <c r="AC48"/>
  <c r="AC47"/>
  <c r="AC46"/>
  <c r="AC45"/>
  <c r="AC44"/>
  <c r="AC43"/>
  <c r="AC42"/>
  <c r="AC41"/>
  <c r="AC40"/>
  <c r="AC39"/>
  <c r="AC38"/>
  <c r="AC37"/>
  <c r="AC36"/>
  <c r="AC35"/>
  <c r="AC34"/>
  <c r="AC33"/>
  <c r="AC32"/>
  <c r="AC31"/>
  <c r="AC30"/>
  <c r="AC29"/>
  <c r="AC28"/>
  <c r="AC27"/>
  <c r="AC26"/>
  <c r="AC25"/>
  <c r="AC24"/>
  <c r="AC23"/>
  <c r="AC22"/>
  <c r="AC21"/>
  <c r="AC20"/>
  <c r="AC19"/>
  <c r="AC18"/>
  <c r="AC17"/>
  <c r="U145"/>
  <c r="U144"/>
  <c r="U143"/>
  <c r="U142"/>
  <c r="U141"/>
  <c r="U140"/>
  <c r="U139"/>
  <c r="U138"/>
  <c r="U137"/>
  <c r="U136"/>
  <c r="U135"/>
  <c r="U134"/>
  <c r="U133"/>
  <c r="U132"/>
  <c r="U131"/>
  <c r="U130"/>
  <c r="U129"/>
  <c r="U128"/>
  <c r="U127"/>
  <c r="U126"/>
  <c r="U125"/>
  <c r="U124"/>
  <c r="U123"/>
  <c r="U122"/>
  <c r="U121"/>
  <c r="U120"/>
  <c r="U119"/>
  <c r="U118"/>
  <c r="U117"/>
  <c r="U116"/>
  <c r="U115"/>
  <c r="U114"/>
  <c r="U113"/>
  <c r="U112"/>
  <c r="U111"/>
  <c r="U110"/>
  <c r="U109"/>
  <c r="U108"/>
  <c r="U107"/>
  <c r="U106"/>
  <c r="U105"/>
  <c r="U104"/>
  <c r="U103"/>
  <c r="U102"/>
  <c r="U101"/>
  <c r="U100"/>
  <c r="U99"/>
  <c r="U98"/>
  <c r="U97"/>
  <c r="U96"/>
  <c r="U95"/>
  <c r="U94"/>
  <c r="U93"/>
  <c r="U92"/>
  <c r="U91"/>
  <c r="U90"/>
  <c r="U89"/>
  <c r="U88"/>
  <c r="U87"/>
  <c r="U86"/>
  <c r="U85"/>
  <c r="U84"/>
  <c r="U83"/>
  <c r="U82"/>
  <c r="U81"/>
  <c r="U80"/>
  <c r="U79"/>
  <c r="U78"/>
  <c r="U77"/>
  <c r="U76"/>
  <c r="U75"/>
  <c r="U74"/>
  <c r="U73"/>
  <c r="U72"/>
  <c r="U71"/>
  <c r="U70"/>
  <c r="U69"/>
  <c r="U68"/>
  <c r="U67"/>
  <c r="U66"/>
  <c r="U65"/>
  <c r="U64"/>
  <c r="U63"/>
  <c r="U62"/>
  <c r="U61"/>
  <c r="U60"/>
  <c r="U59"/>
  <c r="U58"/>
  <c r="U57"/>
  <c r="U56"/>
  <c r="U55"/>
  <c r="U54"/>
  <c r="U53"/>
  <c r="U52"/>
  <c r="U51"/>
  <c r="U50"/>
  <c r="U49"/>
  <c r="U48"/>
  <c r="U47"/>
  <c r="U46"/>
  <c r="U45"/>
  <c r="U44"/>
  <c r="U43"/>
  <c r="U42"/>
  <c r="U41"/>
  <c r="U40"/>
  <c r="U39"/>
  <c r="U38"/>
  <c r="U37"/>
  <c r="U36"/>
  <c r="U35"/>
  <c r="U34"/>
  <c r="U33"/>
  <c r="U32"/>
  <c r="U31"/>
  <c r="U30"/>
  <c r="U29"/>
  <c r="U28"/>
  <c r="U27"/>
  <c r="U26"/>
  <c r="U25"/>
  <c r="AC85" i="6"/>
  <c r="AC84"/>
  <c r="AC83"/>
  <c r="AC82"/>
  <c r="AC81"/>
  <c r="AC80"/>
  <c r="AC79"/>
  <c r="AC78"/>
  <c r="AC77"/>
  <c r="AC76"/>
  <c r="AC75"/>
  <c r="AC74"/>
  <c r="AC73"/>
  <c r="AC72"/>
  <c r="AC71"/>
  <c r="AC70"/>
  <c r="AC69"/>
  <c r="AC68"/>
  <c r="AC67"/>
  <c r="AC66"/>
  <c r="AC65"/>
  <c r="AC64"/>
  <c r="AC63"/>
  <c r="AC62"/>
  <c r="AC61"/>
  <c r="AC60"/>
  <c r="AC59"/>
  <c r="AC58"/>
  <c r="AC57"/>
  <c r="AC56"/>
  <c r="AC55"/>
  <c r="AC54"/>
  <c r="AC53"/>
  <c r="AC52"/>
  <c r="AC51"/>
  <c r="AC50"/>
  <c r="AC49"/>
  <c r="AC48"/>
  <c r="AC47"/>
  <c r="AC46"/>
  <c r="AC45"/>
  <c r="AC44"/>
  <c r="AC43"/>
  <c r="AC42"/>
  <c r="AC41"/>
  <c r="AC40"/>
  <c r="AC39"/>
  <c r="AC38"/>
  <c r="AC37"/>
  <c r="AC36"/>
  <c r="AC35"/>
  <c r="AC34"/>
  <c r="AC33"/>
  <c r="AC32"/>
  <c r="AC31"/>
  <c r="AC30"/>
  <c r="AC29"/>
  <c r="AC28"/>
  <c r="AC27"/>
  <c r="AC26"/>
  <c r="AC25"/>
  <c r="AC24"/>
  <c r="AC23"/>
  <c r="AC22"/>
  <c r="AC21"/>
  <c r="AC20"/>
  <c r="U115"/>
  <c r="U114"/>
  <c r="U113"/>
  <c r="U112"/>
  <c r="U111"/>
  <c r="U110"/>
  <c r="U109"/>
  <c r="U108"/>
  <c r="U107"/>
  <c r="U106"/>
  <c r="U105"/>
  <c r="U104"/>
  <c r="U103"/>
  <c r="U102"/>
  <c r="U101"/>
  <c r="U100"/>
  <c r="U99"/>
  <c r="U98"/>
  <c r="U97"/>
  <c r="U96"/>
  <c r="U95"/>
  <c r="U94"/>
  <c r="U93"/>
  <c r="U92"/>
  <c r="U91"/>
  <c r="U90"/>
  <c r="U89"/>
  <c r="U88"/>
  <c r="U87"/>
  <c r="U86"/>
  <c r="U85"/>
  <c r="U84"/>
  <c r="U83"/>
  <c r="U82"/>
  <c r="U81"/>
  <c r="U80"/>
  <c r="U79"/>
  <c r="U78"/>
  <c r="U77"/>
  <c r="U76"/>
  <c r="U75"/>
  <c r="U74"/>
  <c r="U73"/>
  <c r="U72"/>
  <c r="U71"/>
  <c r="U70"/>
  <c r="U69"/>
  <c r="U68"/>
  <c r="U67"/>
  <c r="U66"/>
  <c r="U65"/>
  <c r="U64"/>
  <c r="U63"/>
  <c r="U62"/>
  <c r="U61"/>
  <c r="U60"/>
  <c r="U59"/>
  <c r="U58"/>
  <c r="U57"/>
  <c r="U56"/>
  <c r="U55"/>
  <c r="U54"/>
  <c r="U53"/>
  <c r="U52"/>
  <c r="U51"/>
  <c r="U50"/>
  <c r="U49"/>
  <c r="U48"/>
  <c r="U47"/>
  <c r="U46"/>
  <c r="U45"/>
  <c r="U44"/>
  <c r="U43"/>
  <c r="U42"/>
  <c r="U41"/>
  <c r="U40"/>
  <c r="U39"/>
  <c r="U38"/>
  <c r="U37"/>
  <c r="U36"/>
  <c r="U35"/>
  <c r="U34"/>
  <c r="U33"/>
  <c r="U32"/>
  <c r="U31"/>
  <c r="U30"/>
  <c r="U29"/>
  <c r="U28"/>
  <c r="U27"/>
  <c r="U26"/>
  <c r="U25"/>
  <c r="U24"/>
  <c r="AG36" i="4"/>
  <c r="AD36"/>
  <c r="AG34"/>
  <c r="AD34"/>
  <c r="AD27"/>
  <c r="AG27"/>
  <c r="AG23"/>
  <c r="AD23"/>
  <c r="AG14"/>
  <c r="AD14"/>
  <c r="AP6" i="7"/>
  <c r="AP6" i="17"/>
  <c r="AC13" s="1"/>
  <c r="AP6" i="12"/>
  <c r="AH60" l="1"/>
  <c r="AH57"/>
  <c r="AH52"/>
  <c r="Z37"/>
  <c r="Z15" i="17"/>
  <c r="AC33" i="12"/>
  <c r="AD67" i="7"/>
  <c r="AG67" s="1"/>
  <c r="AE63"/>
  <c r="AP6" i="13" l="1"/>
  <c r="E5" i="16"/>
  <c r="H12" s="1"/>
  <c r="C38" i="14"/>
  <c r="D3" i="16"/>
  <c r="F29" s="1"/>
  <c r="C3"/>
  <c r="F23" s="1"/>
  <c r="A3"/>
  <c r="E4" s="1"/>
  <c r="AD7" i="14"/>
  <c r="AN7" s="1"/>
  <c r="F9" i="16"/>
  <c r="F8"/>
  <c r="AR61" i="13"/>
  <c r="AR59"/>
  <c r="AR57"/>
  <c r="AR49"/>
  <c r="AP46" s="1"/>
  <c r="AD59" l="1"/>
  <c r="AD60"/>
  <c r="AD61"/>
  <c r="AD57"/>
  <c r="AD62"/>
  <c r="AD58"/>
  <c r="AG7" i="14"/>
  <c r="AR54" i="13"/>
  <c r="AF46"/>
  <c r="AH46"/>
  <c r="AD43"/>
  <c r="AF16"/>
  <c r="AN16" s="1"/>
  <c r="AB40"/>
  <c r="AD40" s="1"/>
  <c r="H4" i="16"/>
  <c r="N17"/>
  <c r="M17"/>
  <c r="Q17"/>
  <c r="P17"/>
  <c r="O17"/>
  <c r="J18"/>
  <c r="J20"/>
  <c r="J24"/>
  <c r="L20"/>
  <c r="L22"/>
  <c r="L24"/>
  <c r="L26"/>
  <c r="O27"/>
  <c r="L28"/>
  <c r="Q28"/>
  <c r="J19"/>
  <c r="J23"/>
  <c r="J27"/>
  <c r="K20"/>
  <c r="K22"/>
  <c r="K24"/>
  <c r="K26"/>
  <c r="N27"/>
  <c r="M27" s="1"/>
  <c r="K28"/>
  <c r="P28"/>
  <c r="J22"/>
  <c r="L21"/>
  <c r="L23"/>
  <c r="L25"/>
  <c r="O26"/>
  <c r="L27"/>
  <c r="O28"/>
  <c r="J17"/>
  <c r="J21"/>
  <c r="J25"/>
  <c r="K21"/>
  <c r="K23"/>
  <c r="K25"/>
  <c r="N26"/>
  <c r="M26" s="1"/>
  <c r="K27"/>
  <c r="N28"/>
  <c r="M28" s="1"/>
  <c r="H7"/>
  <c r="H11"/>
  <c r="H6"/>
  <c r="H10"/>
  <c r="H14"/>
  <c r="H5"/>
  <c r="H9"/>
  <c r="H8"/>
  <c r="AP40" i="13" l="1"/>
  <c r="AH40" s="1"/>
  <c r="AH16"/>
  <c r="AP37" i="12"/>
  <c r="Q32" i="11"/>
  <c r="U20"/>
  <c r="P32"/>
  <c r="T20"/>
  <c r="J32"/>
  <c r="D35"/>
  <c r="D34"/>
  <c r="D33"/>
  <c r="D32"/>
  <c r="I32"/>
  <c r="L32" s="1"/>
  <c r="C35"/>
  <c r="F35" s="1"/>
  <c r="C34"/>
  <c r="F34" s="1"/>
  <c r="C33"/>
  <c r="E33" s="1"/>
  <c r="E39" s="1"/>
  <c r="C32"/>
  <c r="F32" s="1"/>
  <c r="K21"/>
  <c r="J21"/>
  <c r="I21"/>
  <c r="E23"/>
  <c r="E22"/>
  <c r="E21"/>
  <c r="E24"/>
  <c r="D24"/>
  <c r="D23"/>
  <c r="D22"/>
  <c r="D21"/>
  <c r="C24"/>
  <c r="C23"/>
  <c r="C22"/>
  <c r="C21"/>
  <c r="U160"/>
  <c r="U159"/>
  <c r="U158"/>
  <c r="U157"/>
  <c r="U156"/>
  <c r="U155"/>
  <c r="U154"/>
  <c r="U153"/>
  <c r="U152"/>
  <c r="U151"/>
  <c r="U150"/>
  <c r="U149"/>
  <c r="U148"/>
  <c r="U147"/>
  <c r="U146"/>
  <c r="U145"/>
  <c r="U144"/>
  <c r="U143"/>
  <c r="U142"/>
  <c r="U141"/>
  <c r="U140"/>
  <c r="U139"/>
  <c r="U138"/>
  <c r="U137"/>
  <c r="U136"/>
  <c r="U135"/>
  <c r="U134"/>
  <c r="U133"/>
  <c r="U132"/>
  <c r="U131"/>
  <c r="U130"/>
  <c r="U129"/>
  <c r="U128"/>
  <c r="U127"/>
  <c r="U126"/>
  <c r="U125"/>
  <c r="U124"/>
  <c r="U123"/>
  <c r="U122"/>
  <c r="U121"/>
  <c r="U120"/>
  <c r="U119"/>
  <c r="U118"/>
  <c r="U117"/>
  <c r="U116"/>
  <c r="U115"/>
  <c r="U114"/>
  <c r="U113"/>
  <c r="U112"/>
  <c r="U111"/>
  <c r="U110"/>
  <c r="U109"/>
  <c r="U108"/>
  <c r="U107"/>
  <c r="U106"/>
  <c r="U105"/>
  <c r="U104"/>
  <c r="U103"/>
  <c r="U102"/>
  <c r="U101"/>
  <c r="U100"/>
  <c r="U99"/>
  <c r="U98"/>
  <c r="U97"/>
  <c r="U96"/>
  <c r="U95"/>
  <c r="U94"/>
  <c r="U93"/>
  <c r="U92"/>
  <c r="U91"/>
  <c r="U90"/>
  <c r="U89"/>
  <c r="U88"/>
  <c r="U87"/>
  <c r="U86"/>
  <c r="U85"/>
  <c r="U84"/>
  <c r="U83"/>
  <c r="U82"/>
  <c r="U81"/>
  <c r="U80"/>
  <c r="U79"/>
  <c r="U78"/>
  <c r="U77"/>
  <c r="U76"/>
  <c r="U75"/>
  <c r="U74"/>
  <c r="U73"/>
  <c r="U72"/>
  <c r="U71"/>
  <c r="U70"/>
  <c r="U69"/>
  <c r="U68"/>
  <c r="U67"/>
  <c r="U66"/>
  <c r="U65"/>
  <c r="U64"/>
  <c r="U63"/>
  <c r="U62"/>
  <c r="U61"/>
  <c r="U60"/>
  <c r="U59"/>
  <c r="U58"/>
  <c r="U57"/>
  <c r="U56"/>
  <c r="U55"/>
  <c r="U54"/>
  <c r="U53"/>
  <c r="U52"/>
  <c r="U51"/>
  <c r="U50"/>
  <c r="U49"/>
  <c r="U48"/>
  <c r="U47"/>
  <c r="U46"/>
  <c r="U45"/>
  <c r="U44"/>
  <c r="U43"/>
  <c r="U42"/>
  <c r="U41"/>
  <c r="U40"/>
  <c r="U39"/>
  <c r="U38"/>
  <c r="U37"/>
  <c r="U36"/>
  <c r="U35"/>
  <c r="U34"/>
  <c r="U33"/>
  <c r="U32"/>
  <c r="U31"/>
  <c r="U30"/>
  <c r="U29"/>
  <c r="U28"/>
  <c r="U27"/>
  <c r="U26"/>
  <c r="U25"/>
  <c r="U24"/>
  <c r="U23"/>
  <c r="U22"/>
  <c r="U21"/>
  <c r="T120"/>
  <c r="T119"/>
  <c r="T118"/>
  <c r="T117"/>
  <c r="T116"/>
  <c r="T115"/>
  <c r="T114"/>
  <c r="T113"/>
  <c r="T112"/>
  <c r="T111"/>
  <c r="T110"/>
  <c r="T109"/>
  <c r="T108"/>
  <c r="T107"/>
  <c r="T106"/>
  <c r="T105"/>
  <c r="T104"/>
  <c r="T103"/>
  <c r="T102"/>
  <c r="T101"/>
  <c r="T100"/>
  <c r="T99"/>
  <c r="T98"/>
  <c r="T97"/>
  <c r="T96"/>
  <c r="T95"/>
  <c r="T94"/>
  <c r="T93"/>
  <c r="T92"/>
  <c r="T91"/>
  <c r="T90"/>
  <c r="T89"/>
  <c r="T88"/>
  <c r="T87"/>
  <c r="T86"/>
  <c r="T85"/>
  <c r="T84"/>
  <c r="T83"/>
  <c r="T82"/>
  <c r="T81"/>
  <c r="T80"/>
  <c r="T79"/>
  <c r="T78"/>
  <c r="T77"/>
  <c r="T76"/>
  <c r="T75"/>
  <c r="T74"/>
  <c r="T73"/>
  <c r="T72"/>
  <c r="T71"/>
  <c r="T70"/>
  <c r="T69"/>
  <c r="T68"/>
  <c r="T67"/>
  <c r="T66"/>
  <c r="T65"/>
  <c r="T64"/>
  <c r="T63"/>
  <c r="T62"/>
  <c r="T61"/>
  <c r="T60"/>
  <c r="T59"/>
  <c r="T58"/>
  <c r="T57"/>
  <c r="T56"/>
  <c r="T55"/>
  <c r="T54"/>
  <c r="T53"/>
  <c r="T52"/>
  <c r="T51"/>
  <c r="T50"/>
  <c r="T49"/>
  <c r="T48"/>
  <c r="T47"/>
  <c r="T46"/>
  <c r="T45"/>
  <c r="T44"/>
  <c r="T43"/>
  <c r="T42"/>
  <c r="T41"/>
  <c r="T40"/>
  <c r="T39"/>
  <c r="T38"/>
  <c r="T37"/>
  <c r="T36"/>
  <c r="T35"/>
  <c r="T34"/>
  <c r="T33"/>
  <c r="T32"/>
  <c r="T31"/>
  <c r="T30"/>
  <c r="T29"/>
  <c r="T28"/>
  <c r="T27"/>
  <c r="T26"/>
  <c r="T25"/>
  <c r="T24"/>
  <c r="T23"/>
  <c r="T22"/>
  <c r="T21"/>
  <c r="S22"/>
  <c r="S23" s="1"/>
  <c r="S24" s="1"/>
  <c r="S25" s="1"/>
  <c r="S26" s="1"/>
  <c r="S27" s="1"/>
  <c r="S28" s="1"/>
  <c r="S29" s="1"/>
  <c r="S30" s="1"/>
  <c r="S31" s="1"/>
  <c r="S32" s="1"/>
  <c r="S33" s="1"/>
  <c r="S34" s="1"/>
  <c r="S35" s="1"/>
  <c r="S36" s="1"/>
  <c r="S37" s="1"/>
  <c r="S38" s="1"/>
  <c r="S39" s="1"/>
  <c r="S40" s="1"/>
  <c r="S41" s="1"/>
  <c r="S42" s="1"/>
  <c r="S43" s="1"/>
  <c r="S44" s="1"/>
  <c r="S45" s="1"/>
  <c r="S46" s="1"/>
  <c r="S47" s="1"/>
  <c r="S48" s="1"/>
  <c r="S49" s="1"/>
  <c r="S50" s="1"/>
  <c r="S51" s="1"/>
  <c r="S52" s="1"/>
  <c r="S53" s="1"/>
  <c r="S54" s="1"/>
  <c r="S55" s="1"/>
  <c r="S56" s="1"/>
  <c r="S57" s="1"/>
  <c r="S58" s="1"/>
  <c r="S59" s="1"/>
  <c r="S60" s="1"/>
  <c r="S61" s="1"/>
  <c r="S62" s="1"/>
  <c r="S63" s="1"/>
  <c r="S64" s="1"/>
  <c r="S65" s="1"/>
  <c r="S66" s="1"/>
  <c r="S67" s="1"/>
  <c r="S68" s="1"/>
  <c r="S69" s="1"/>
  <c r="S70" s="1"/>
  <c r="S71" s="1"/>
  <c r="S72" s="1"/>
  <c r="S73" s="1"/>
  <c r="S74" s="1"/>
  <c r="S75" s="1"/>
  <c r="S76" s="1"/>
  <c r="S77" s="1"/>
  <c r="S78" s="1"/>
  <c r="S79" s="1"/>
  <c r="S80" s="1"/>
  <c r="S81" s="1"/>
  <c r="S82" s="1"/>
  <c r="S83" s="1"/>
  <c r="S84" s="1"/>
  <c r="S85" s="1"/>
  <c r="S86" s="1"/>
  <c r="S87" s="1"/>
  <c r="S88" s="1"/>
  <c r="S89" s="1"/>
  <c r="S90" s="1"/>
  <c r="S91" s="1"/>
  <c r="S92" s="1"/>
  <c r="S93" s="1"/>
  <c r="S94" s="1"/>
  <c r="S95" s="1"/>
  <c r="S96" s="1"/>
  <c r="S97" s="1"/>
  <c r="S98" s="1"/>
  <c r="S99" s="1"/>
  <c r="S100" s="1"/>
  <c r="S101" s="1"/>
  <c r="S102" s="1"/>
  <c r="S103" s="1"/>
  <c r="S104" s="1"/>
  <c r="S105" s="1"/>
  <c r="S106" s="1"/>
  <c r="S107" s="1"/>
  <c r="S108" s="1"/>
  <c r="S109" s="1"/>
  <c r="S110" s="1"/>
  <c r="S111" s="1"/>
  <c r="S112" s="1"/>
  <c r="S113" s="1"/>
  <c r="S114" s="1"/>
  <c r="S115" s="1"/>
  <c r="S116" s="1"/>
  <c r="S117" s="1"/>
  <c r="S118" s="1"/>
  <c r="S119" s="1"/>
  <c r="S120" s="1"/>
  <c r="S121" s="1"/>
  <c r="S122" s="1"/>
  <c r="S123" s="1"/>
  <c r="S124" s="1"/>
  <c r="S125" s="1"/>
  <c r="S126" s="1"/>
  <c r="S127" s="1"/>
  <c r="S128" s="1"/>
  <c r="S129" s="1"/>
  <c r="S130" s="1"/>
  <c r="S131" s="1"/>
  <c r="S132" s="1"/>
  <c r="S133" s="1"/>
  <c r="S134" s="1"/>
  <c r="S135" s="1"/>
  <c r="S136" s="1"/>
  <c r="S137" s="1"/>
  <c r="S138" s="1"/>
  <c r="S139" s="1"/>
  <c r="S140" s="1"/>
  <c r="S141" s="1"/>
  <c r="S142" s="1"/>
  <c r="S143" s="1"/>
  <c r="S144" s="1"/>
  <c r="S145" s="1"/>
  <c r="S146" s="1"/>
  <c r="S147" s="1"/>
  <c r="S148" s="1"/>
  <c r="S149" s="1"/>
  <c r="S150" s="1"/>
  <c r="S151" s="1"/>
  <c r="S152" s="1"/>
  <c r="S153" s="1"/>
  <c r="S154" s="1"/>
  <c r="S155" s="1"/>
  <c r="S156" s="1"/>
  <c r="S157" s="1"/>
  <c r="S158" s="1"/>
  <c r="S159" s="1"/>
  <c r="S160" s="1"/>
  <c r="S21"/>
  <c r="Q160"/>
  <c r="Q159"/>
  <c r="Q158"/>
  <c r="Q157"/>
  <c r="Q156"/>
  <c r="Q155"/>
  <c r="Q154"/>
  <c r="Q153"/>
  <c r="Q152"/>
  <c r="Q151"/>
  <c r="Q150"/>
  <c r="Q149"/>
  <c r="Q148"/>
  <c r="Q147"/>
  <c r="Q146"/>
  <c r="Q145"/>
  <c r="Q144"/>
  <c r="Q143"/>
  <c r="Q142"/>
  <c r="Q141"/>
  <c r="Q140"/>
  <c r="Q139"/>
  <c r="Q138"/>
  <c r="Q137"/>
  <c r="Q136"/>
  <c r="Q135"/>
  <c r="Q134"/>
  <c r="Q133"/>
  <c r="Q132"/>
  <c r="Q131"/>
  <c r="Q130"/>
  <c r="Q129"/>
  <c r="Q128"/>
  <c r="Q127"/>
  <c r="Q126"/>
  <c r="Q125"/>
  <c r="Q124"/>
  <c r="Q123"/>
  <c r="Q122"/>
  <c r="Q121"/>
  <c r="Q120"/>
  <c r="Q119"/>
  <c r="Q118"/>
  <c r="Q117"/>
  <c r="Q116"/>
  <c r="Q115"/>
  <c r="Q114"/>
  <c r="Q113"/>
  <c r="Q112"/>
  <c r="Q111"/>
  <c r="Q110"/>
  <c r="Q109"/>
  <c r="Q108"/>
  <c r="Q107"/>
  <c r="Q106"/>
  <c r="Q105"/>
  <c r="Q104"/>
  <c r="Q103"/>
  <c r="Q102"/>
  <c r="Q101"/>
  <c r="Q100"/>
  <c r="Q99"/>
  <c r="Q98"/>
  <c r="Q97"/>
  <c r="Q96"/>
  <c r="Q95"/>
  <c r="Q94"/>
  <c r="Q93"/>
  <c r="Q92"/>
  <c r="Q91"/>
  <c r="Q90"/>
  <c r="Q89"/>
  <c r="Q88"/>
  <c r="Q87"/>
  <c r="Q86"/>
  <c r="Q85"/>
  <c r="Q84"/>
  <c r="Q83"/>
  <c r="Q82"/>
  <c r="Q81"/>
  <c r="Q80"/>
  <c r="Q79"/>
  <c r="Q78"/>
  <c r="Q77"/>
  <c r="Q76"/>
  <c r="Q75"/>
  <c r="Q74"/>
  <c r="Q73"/>
  <c r="Q72"/>
  <c r="Q71"/>
  <c r="Q70"/>
  <c r="Q69"/>
  <c r="Q68"/>
  <c r="Q67"/>
  <c r="Q66"/>
  <c r="Q65"/>
  <c r="Q64"/>
  <c r="Q63"/>
  <c r="Q62"/>
  <c r="Q61"/>
  <c r="Q60"/>
  <c r="Q59"/>
  <c r="Q58"/>
  <c r="Q57"/>
  <c r="Q56"/>
  <c r="Q55"/>
  <c r="Q54"/>
  <c r="Q53"/>
  <c r="Q52"/>
  <c r="Q51"/>
  <c r="Q50"/>
  <c r="Q49"/>
  <c r="Q48"/>
  <c r="Q47"/>
  <c r="Q46"/>
  <c r="Q45"/>
  <c r="Q44"/>
  <c r="Q43"/>
  <c r="Q42"/>
  <c r="Q41"/>
  <c r="Q40"/>
  <c r="Q39"/>
  <c r="Q38"/>
  <c r="Q37"/>
  <c r="Q36"/>
  <c r="Q35"/>
  <c r="Q34"/>
  <c r="Q33"/>
  <c r="Q31"/>
  <c r="Q30"/>
  <c r="Q29"/>
  <c r="Q28"/>
  <c r="Q27"/>
  <c r="Q26"/>
  <c r="Q25"/>
  <c r="Q24"/>
  <c r="Q23"/>
  <c r="Q22"/>
  <c r="Q21"/>
  <c r="Q20"/>
  <c r="Q19"/>
  <c r="Q18"/>
  <c r="Q17"/>
  <c r="Q16"/>
  <c r="Q15"/>
  <c r="Q14"/>
  <c r="Q13"/>
  <c r="Q12"/>
  <c r="Q11"/>
  <c r="Q10"/>
  <c r="Q9"/>
  <c r="Q8"/>
  <c r="Q7"/>
  <c r="Q6"/>
  <c r="Q5"/>
  <c r="P120"/>
  <c r="P119"/>
  <c r="P118"/>
  <c r="P117"/>
  <c r="P116"/>
  <c r="P115"/>
  <c r="P114"/>
  <c r="P113"/>
  <c r="P112"/>
  <c r="P111"/>
  <c r="P110"/>
  <c r="P109"/>
  <c r="P108"/>
  <c r="P107"/>
  <c r="P106"/>
  <c r="P105"/>
  <c r="P104"/>
  <c r="P103"/>
  <c r="P102"/>
  <c r="P101"/>
  <c r="P100"/>
  <c r="P99"/>
  <c r="P98"/>
  <c r="P97"/>
  <c r="P96"/>
  <c r="P95"/>
  <c r="P94"/>
  <c r="P93"/>
  <c r="P92"/>
  <c r="P91"/>
  <c r="P90"/>
  <c r="P89"/>
  <c r="P88"/>
  <c r="P87"/>
  <c r="P86"/>
  <c r="P85"/>
  <c r="P84"/>
  <c r="P83"/>
  <c r="P82"/>
  <c r="P81"/>
  <c r="P80"/>
  <c r="P79"/>
  <c r="P78"/>
  <c r="P77"/>
  <c r="P76"/>
  <c r="P75"/>
  <c r="P74"/>
  <c r="P73"/>
  <c r="P72"/>
  <c r="P71"/>
  <c r="P70"/>
  <c r="P69"/>
  <c r="P68"/>
  <c r="P67"/>
  <c r="P66"/>
  <c r="P65"/>
  <c r="P64"/>
  <c r="P63"/>
  <c r="P62"/>
  <c r="P61"/>
  <c r="P60"/>
  <c r="P59"/>
  <c r="P58"/>
  <c r="P57"/>
  <c r="P56"/>
  <c r="P55"/>
  <c r="P54"/>
  <c r="P53"/>
  <c r="P52"/>
  <c r="P51"/>
  <c r="P50"/>
  <c r="P49"/>
  <c r="P48"/>
  <c r="P47"/>
  <c r="P46"/>
  <c r="P45"/>
  <c r="P44"/>
  <c r="P43"/>
  <c r="P42"/>
  <c r="P41"/>
  <c r="P40"/>
  <c r="P39"/>
  <c r="P38"/>
  <c r="P37"/>
  <c r="P36"/>
  <c r="P35"/>
  <c r="P34"/>
  <c r="P33"/>
  <c r="P31"/>
  <c r="P30"/>
  <c r="P29"/>
  <c r="P28"/>
  <c r="P27"/>
  <c r="P26"/>
  <c r="P25"/>
  <c r="P24"/>
  <c r="P23"/>
  <c r="P22"/>
  <c r="P21"/>
  <c r="P20"/>
  <c r="P19"/>
  <c r="P18"/>
  <c r="P17"/>
  <c r="P16"/>
  <c r="P15"/>
  <c r="P14"/>
  <c r="P13"/>
  <c r="P12"/>
  <c r="P11"/>
  <c r="P10"/>
  <c r="P9"/>
  <c r="P8"/>
  <c r="P7"/>
  <c r="O8"/>
  <c r="O9" s="1"/>
  <c r="O10" s="1"/>
  <c r="O11" s="1"/>
  <c r="O12" s="1"/>
  <c r="O13" s="1"/>
  <c r="O14" s="1"/>
  <c r="O15" s="1"/>
  <c r="O16" s="1"/>
  <c r="O17" s="1"/>
  <c r="O18" s="1"/>
  <c r="O19" s="1"/>
  <c r="O20" s="1"/>
  <c r="O21" s="1"/>
  <c r="O22" s="1"/>
  <c r="O23" s="1"/>
  <c r="O24" s="1"/>
  <c r="O25" s="1"/>
  <c r="O26" s="1"/>
  <c r="O27" s="1"/>
  <c r="O28" s="1"/>
  <c r="O29" s="1"/>
  <c r="O30" s="1"/>
  <c r="O31" s="1"/>
  <c r="O32" s="1"/>
  <c r="O33" s="1"/>
  <c r="O34" s="1"/>
  <c r="O35" s="1"/>
  <c r="O36" s="1"/>
  <c r="O37" s="1"/>
  <c r="O38" s="1"/>
  <c r="O39" s="1"/>
  <c r="O40" s="1"/>
  <c r="O41" s="1"/>
  <c r="O42" s="1"/>
  <c r="O43" s="1"/>
  <c r="O44" s="1"/>
  <c r="O45" s="1"/>
  <c r="O46" s="1"/>
  <c r="O47" s="1"/>
  <c r="O48" s="1"/>
  <c r="O49" s="1"/>
  <c r="O50" s="1"/>
  <c r="O51" s="1"/>
  <c r="O52" s="1"/>
  <c r="O53" s="1"/>
  <c r="O54" s="1"/>
  <c r="O55" s="1"/>
  <c r="O56" s="1"/>
  <c r="O57" s="1"/>
  <c r="O58" s="1"/>
  <c r="O59" s="1"/>
  <c r="O60" s="1"/>
  <c r="O61" s="1"/>
  <c r="O62" s="1"/>
  <c r="O63" s="1"/>
  <c r="O64" s="1"/>
  <c r="O65" s="1"/>
  <c r="O66" s="1"/>
  <c r="O67" s="1"/>
  <c r="O68" s="1"/>
  <c r="O69" s="1"/>
  <c r="O70" s="1"/>
  <c r="O71" s="1"/>
  <c r="O72" s="1"/>
  <c r="O73" s="1"/>
  <c r="O74" s="1"/>
  <c r="O75" s="1"/>
  <c r="O76" s="1"/>
  <c r="O77" s="1"/>
  <c r="O78" s="1"/>
  <c r="O79" s="1"/>
  <c r="O80" s="1"/>
  <c r="O81" s="1"/>
  <c r="O82" s="1"/>
  <c r="O83" s="1"/>
  <c r="O84" s="1"/>
  <c r="O85" s="1"/>
  <c r="O86" s="1"/>
  <c r="O87" s="1"/>
  <c r="O88" s="1"/>
  <c r="O89" s="1"/>
  <c r="O90" s="1"/>
  <c r="O91" s="1"/>
  <c r="O92" s="1"/>
  <c r="O93" s="1"/>
  <c r="O94" s="1"/>
  <c r="O95" s="1"/>
  <c r="O96" s="1"/>
  <c r="O97" s="1"/>
  <c r="O98" s="1"/>
  <c r="O99" s="1"/>
  <c r="O100" s="1"/>
  <c r="O101" s="1"/>
  <c r="O102" s="1"/>
  <c r="O103" s="1"/>
  <c r="O104" s="1"/>
  <c r="O105" s="1"/>
  <c r="O106" s="1"/>
  <c r="O107" s="1"/>
  <c r="O108" s="1"/>
  <c r="O109" s="1"/>
  <c r="O110" s="1"/>
  <c r="O111" s="1"/>
  <c r="O112" s="1"/>
  <c r="O113" s="1"/>
  <c r="O114" s="1"/>
  <c r="O115" s="1"/>
  <c r="O116" s="1"/>
  <c r="O117" s="1"/>
  <c r="O118" s="1"/>
  <c r="O119" s="1"/>
  <c r="O120" s="1"/>
  <c r="O121" s="1"/>
  <c r="O122" s="1"/>
  <c r="O123" s="1"/>
  <c r="O124" s="1"/>
  <c r="O125" s="1"/>
  <c r="O126" s="1"/>
  <c r="O127" s="1"/>
  <c r="O128" s="1"/>
  <c r="O129" s="1"/>
  <c r="O130" s="1"/>
  <c r="O131" s="1"/>
  <c r="O132" s="1"/>
  <c r="O133" s="1"/>
  <c r="O134" s="1"/>
  <c r="O135" s="1"/>
  <c r="O136" s="1"/>
  <c r="O137" s="1"/>
  <c r="O138" s="1"/>
  <c r="O139" s="1"/>
  <c r="O140" s="1"/>
  <c r="O141" s="1"/>
  <c r="O142" s="1"/>
  <c r="O143" s="1"/>
  <c r="O144" s="1"/>
  <c r="O145" s="1"/>
  <c r="O146" s="1"/>
  <c r="O147" s="1"/>
  <c r="O148" s="1"/>
  <c r="O149" s="1"/>
  <c r="O150" s="1"/>
  <c r="O151" s="1"/>
  <c r="O152" s="1"/>
  <c r="O153" s="1"/>
  <c r="O154" s="1"/>
  <c r="O155" s="1"/>
  <c r="O156" s="1"/>
  <c r="O157" s="1"/>
  <c r="O158" s="1"/>
  <c r="O159" s="1"/>
  <c r="O160" s="1"/>
  <c r="O7"/>
  <c r="O6"/>
  <c r="AN13" i="17"/>
  <c r="AS64" i="7"/>
  <c r="AS65" s="1"/>
  <c r="AQ64"/>
  <c r="AF40" i="13" l="1"/>
  <c r="F39" i="11"/>
  <c r="E34"/>
  <c r="E40" s="1"/>
  <c r="F40" s="1"/>
  <c r="E35"/>
  <c r="E41" s="1"/>
  <c r="F41" s="1"/>
  <c r="K32"/>
  <c r="K38" s="1"/>
  <c r="L38" s="1"/>
  <c r="AB28" i="13" s="1"/>
  <c r="AD28" s="1"/>
  <c r="E32" i="11"/>
  <c r="E38" s="1"/>
  <c r="F38" s="1"/>
  <c r="F33"/>
  <c r="AP13" i="17"/>
  <c r="AF11" s="1"/>
  <c r="AH11" s="1"/>
  <c r="C33" i="9"/>
  <c r="B33"/>
  <c r="AB17"/>
  <c r="AA17"/>
  <c r="Z17"/>
  <c r="T25"/>
  <c r="S25"/>
  <c r="R25"/>
  <c r="C31"/>
  <c r="B31"/>
  <c r="D31" s="1"/>
  <c r="X6"/>
  <c r="X7" s="1"/>
  <c r="P6"/>
  <c r="P7" s="1"/>
  <c r="P8" s="1"/>
  <c r="P9" s="1"/>
  <c r="P10" s="1"/>
  <c r="C38" i="6"/>
  <c r="B38"/>
  <c r="AB13"/>
  <c r="AA13"/>
  <c r="Z13"/>
  <c r="Y20"/>
  <c r="AB85"/>
  <c r="AB84"/>
  <c r="AB83"/>
  <c r="AB82"/>
  <c r="AB81"/>
  <c r="AB80"/>
  <c r="AB79"/>
  <c r="AB78"/>
  <c r="AB77"/>
  <c r="AB76"/>
  <c r="AB75"/>
  <c r="AB74"/>
  <c r="AB73"/>
  <c r="AB72"/>
  <c r="AB71"/>
  <c r="AB70"/>
  <c r="AB69"/>
  <c r="AB68"/>
  <c r="AB67"/>
  <c r="AB66"/>
  <c r="AB65"/>
  <c r="AB64"/>
  <c r="AB63"/>
  <c r="AB62"/>
  <c r="AB61"/>
  <c r="AB60"/>
  <c r="AB59"/>
  <c r="AB58"/>
  <c r="AB57"/>
  <c r="AB56"/>
  <c r="AB55"/>
  <c r="AB54"/>
  <c r="AB53"/>
  <c r="AB52"/>
  <c r="AB51"/>
  <c r="AB50"/>
  <c r="AB49"/>
  <c r="AB48"/>
  <c r="AB47"/>
  <c r="AB46"/>
  <c r="AB45"/>
  <c r="AB44"/>
  <c r="AB43"/>
  <c r="AB42"/>
  <c r="AB41"/>
  <c r="AB40"/>
  <c r="AB39"/>
  <c r="AB38"/>
  <c r="AB37"/>
  <c r="AB36"/>
  <c r="AB35"/>
  <c r="AB34"/>
  <c r="AB33"/>
  <c r="AB32"/>
  <c r="AB31"/>
  <c r="AB30"/>
  <c r="AB29"/>
  <c r="AB28"/>
  <c r="AB27"/>
  <c r="AB26"/>
  <c r="AB25"/>
  <c r="AB24"/>
  <c r="AB23"/>
  <c r="AB22"/>
  <c r="AB21"/>
  <c r="AB20"/>
  <c r="AB19"/>
  <c r="AB18"/>
  <c r="AB17"/>
  <c r="AB16"/>
  <c r="AB15"/>
  <c r="AB14"/>
  <c r="AB12"/>
  <c r="AB11"/>
  <c r="AA85"/>
  <c r="AA84"/>
  <c r="AA83"/>
  <c r="AA82"/>
  <c r="AA81"/>
  <c r="AA80"/>
  <c r="AA79"/>
  <c r="AA78"/>
  <c r="AA77"/>
  <c r="AA76"/>
  <c r="AA75"/>
  <c r="AA74"/>
  <c r="AA73"/>
  <c r="AA72"/>
  <c r="AA71"/>
  <c r="AA70"/>
  <c r="AA69"/>
  <c r="AA68"/>
  <c r="AA67"/>
  <c r="AA66"/>
  <c r="AA65"/>
  <c r="AA64"/>
  <c r="AA63"/>
  <c r="AA62"/>
  <c r="AA61"/>
  <c r="AA60"/>
  <c r="AA59"/>
  <c r="AA58"/>
  <c r="AA57"/>
  <c r="AA56"/>
  <c r="AA55"/>
  <c r="AA54"/>
  <c r="AA53"/>
  <c r="AA52"/>
  <c r="AA51"/>
  <c r="AA50"/>
  <c r="AA49"/>
  <c r="AA48"/>
  <c r="AA47"/>
  <c r="AA46"/>
  <c r="AA45"/>
  <c r="AA44"/>
  <c r="AA43"/>
  <c r="AA42"/>
  <c r="AA41"/>
  <c r="AA40"/>
  <c r="AA39"/>
  <c r="AA38"/>
  <c r="AA37"/>
  <c r="AA36"/>
  <c r="AA35"/>
  <c r="AA34"/>
  <c r="AA33"/>
  <c r="AA32"/>
  <c r="AA31"/>
  <c r="AA30"/>
  <c r="AA29"/>
  <c r="AA28"/>
  <c r="AA27"/>
  <c r="AA26"/>
  <c r="AA25"/>
  <c r="AA24"/>
  <c r="AA23"/>
  <c r="AA22"/>
  <c r="AA21"/>
  <c r="AA20"/>
  <c r="AA19"/>
  <c r="AA18"/>
  <c r="AA17"/>
  <c r="AA16"/>
  <c r="AA15"/>
  <c r="AA14"/>
  <c r="Z85"/>
  <c r="Z84"/>
  <c r="Z83"/>
  <c r="Z82"/>
  <c r="Z81"/>
  <c r="Z80"/>
  <c r="Z79"/>
  <c r="Z78"/>
  <c r="Z77"/>
  <c r="Z76"/>
  <c r="Z75"/>
  <c r="Z74"/>
  <c r="Z73"/>
  <c r="Z72"/>
  <c r="Z71"/>
  <c r="Z70"/>
  <c r="Z69"/>
  <c r="Z68"/>
  <c r="Z67"/>
  <c r="Z66"/>
  <c r="Z65"/>
  <c r="Z64"/>
  <c r="Z63"/>
  <c r="Z62"/>
  <c r="Z61"/>
  <c r="Z60"/>
  <c r="Z59"/>
  <c r="Z58"/>
  <c r="Z57"/>
  <c r="Z56"/>
  <c r="Z55"/>
  <c r="Z54"/>
  <c r="Z53"/>
  <c r="Z52"/>
  <c r="Z51"/>
  <c r="Z50"/>
  <c r="Z49"/>
  <c r="Z48"/>
  <c r="Z47"/>
  <c r="Z46"/>
  <c r="Z45"/>
  <c r="Z44"/>
  <c r="Z43"/>
  <c r="Z42"/>
  <c r="Z41"/>
  <c r="Z40"/>
  <c r="Z39"/>
  <c r="Z38"/>
  <c r="Z37"/>
  <c r="Z36"/>
  <c r="Z35"/>
  <c r="Z34"/>
  <c r="Z33"/>
  <c r="Z32"/>
  <c r="Z31"/>
  <c r="Z30"/>
  <c r="Z29"/>
  <c r="Z28"/>
  <c r="Z27"/>
  <c r="Z26"/>
  <c r="Z25"/>
  <c r="Z24"/>
  <c r="Z23"/>
  <c r="Z22"/>
  <c r="Z21"/>
  <c r="Z20"/>
  <c r="Z19"/>
  <c r="Z18"/>
  <c r="Z17"/>
  <c r="Z16"/>
  <c r="Z15"/>
  <c r="Z14"/>
  <c r="Y85"/>
  <c r="Y84"/>
  <c r="Y83"/>
  <c r="Y82"/>
  <c r="Y81"/>
  <c r="Y80"/>
  <c r="Y79"/>
  <c r="Y78"/>
  <c r="Y77"/>
  <c r="Y76"/>
  <c r="Y75"/>
  <c r="Y74"/>
  <c r="Y73"/>
  <c r="Y72"/>
  <c r="Y71"/>
  <c r="Y70"/>
  <c r="Y69"/>
  <c r="Y68"/>
  <c r="Y67"/>
  <c r="Y66"/>
  <c r="Y65"/>
  <c r="Y64"/>
  <c r="Y63"/>
  <c r="Y62"/>
  <c r="Y61"/>
  <c r="Y60"/>
  <c r="Y59"/>
  <c r="Y58"/>
  <c r="Y57"/>
  <c r="Y56"/>
  <c r="Y55"/>
  <c r="Y54"/>
  <c r="Y53"/>
  <c r="Y52"/>
  <c r="Y51"/>
  <c r="Y50"/>
  <c r="Y49"/>
  <c r="Y48"/>
  <c r="Y47"/>
  <c r="Y46"/>
  <c r="Y45"/>
  <c r="Y44"/>
  <c r="Y43"/>
  <c r="Y42"/>
  <c r="Y41"/>
  <c r="Y40"/>
  <c r="Y39"/>
  <c r="Y38"/>
  <c r="Y37"/>
  <c r="Y36"/>
  <c r="Y35"/>
  <c r="Y34"/>
  <c r="Y33"/>
  <c r="Y32"/>
  <c r="Y31"/>
  <c r="Y30"/>
  <c r="Y29"/>
  <c r="Y28"/>
  <c r="Y27"/>
  <c r="Y26"/>
  <c r="Y25"/>
  <c r="Y24"/>
  <c r="Y23"/>
  <c r="Y22"/>
  <c r="Y21"/>
  <c r="T13"/>
  <c r="P25"/>
  <c r="T24"/>
  <c r="S24"/>
  <c r="R24"/>
  <c r="Q24"/>
  <c r="R13"/>
  <c r="C36"/>
  <c r="C35"/>
  <c r="C34"/>
  <c r="C33"/>
  <c r="B36"/>
  <c r="K36" s="1"/>
  <c r="B35"/>
  <c r="D35" s="1"/>
  <c r="B34"/>
  <c r="J34" s="1"/>
  <c r="B33"/>
  <c r="H33" s="1"/>
  <c r="T25"/>
  <c r="T23"/>
  <c r="T22"/>
  <c r="T21"/>
  <c r="T20"/>
  <c r="T19"/>
  <c r="T18"/>
  <c r="T17"/>
  <c r="T16"/>
  <c r="T15"/>
  <c r="T14"/>
  <c r="S25"/>
  <c r="S23"/>
  <c r="S22"/>
  <c r="S21"/>
  <c r="S20"/>
  <c r="S19"/>
  <c r="S18"/>
  <c r="S17"/>
  <c r="S16"/>
  <c r="S15"/>
  <c r="S14"/>
  <c r="S13"/>
  <c r="R25"/>
  <c r="R23"/>
  <c r="R22"/>
  <c r="R21"/>
  <c r="R20"/>
  <c r="R19"/>
  <c r="R18"/>
  <c r="R17"/>
  <c r="R16"/>
  <c r="R15"/>
  <c r="R14"/>
  <c r="Q25"/>
  <c r="P6"/>
  <c r="P7" s="1"/>
  <c r="P8" s="1"/>
  <c r="P9" s="1"/>
  <c r="P10" s="1"/>
  <c r="P11" s="1"/>
  <c r="P12" s="1"/>
  <c r="P13" s="1"/>
  <c r="AN27" i="4"/>
  <c r="H2" i="3"/>
  <c r="E2"/>
  <c r="AN16" i="4"/>
  <c r="AC18" i="6" l="1"/>
  <c r="AC14"/>
  <c r="AD85"/>
  <c r="AD81"/>
  <c r="AD77"/>
  <c r="AD73"/>
  <c r="AD69"/>
  <c r="AD65"/>
  <c r="AD61"/>
  <c r="AD57"/>
  <c r="AD53"/>
  <c r="AD49"/>
  <c r="AD41"/>
  <c r="AD37"/>
  <c r="AD29"/>
  <c r="AD21"/>
  <c r="V108"/>
  <c r="V72"/>
  <c r="V28"/>
  <c r="AC19"/>
  <c r="AC15"/>
  <c r="AC12"/>
  <c r="AD82"/>
  <c r="AD78"/>
  <c r="AD74"/>
  <c r="AD70"/>
  <c r="AD66"/>
  <c r="AD62"/>
  <c r="AD58"/>
  <c r="AD54"/>
  <c r="AD50"/>
  <c r="AD46"/>
  <c r="AD42"/>
  <c r="AD38"/>
  <c r="AD34"/>
  <c r="AD30"/>
  <c r="AD26"/>
  <c r="AD22"/>
  <c r="AD18"/>
  <c r="AD14"/>
  <c r="V13"/>
  <c r="V113"/>
  <c r="V109"/>
  <c r="V105"/>
  <c r="V101"/>
  <c r="V97"/>
  <c r="V93"/>
  <c r="V89"/>
  <c r="V85"/>
  <c r="V81"/>
  <c r="V77"/>
  <c r="V73"/>
  <c r="V69"/>
  <c r="V65"/>
  <c r="V61"/>
  <c r="V57"/>
  <c r="V53"/>
  <c r="V49"/>
  <c r="V45"/>
  <c r="V41"/>
  <c r="V37"/>
  <c r="V33"/>
  <c r="V29"/>
  <c r="V25"/>
  <c r="V21"/>
  <c r="V17"/>
  <c r="U23"/>
  <c r="U19"/>
  <c r="U15"/>
  <c r="AC16"/>
  <c r="AC11"/>
  <c r="AD83"/>
  <c r="AD79"/>
  <c r="AD75"/>
  <c r="AD71"/>
  <c r="AD67"/>
  <c r="AD63"/>
  <c r="AD59"/>
  <c r="AD55"/>
  <c r="AD51"/>
  <c r="AD47"/>
  <c r="AD43"/>
  <c r="AD39"/>
  <c r="AD35"/>
  <c r="AD31"/>
  <c r="AD27"/>
  <c r="AD23"/>
  <c r="AD19"/>
  <c r="AD15"/>
  <c r="AD11"/>
  <c r="V114"/>
  <c r="V110"/>
  <c r="V106"/>
  <c r="V102"/>
  <c r="V98"/>
  <c r="V94"/>
  <c r="V90"/>
  <c r="V86"/>
  <c r="V82"/>
  <c r="V78"/>
  <c r="V74"/>
  <c r="V70"/>
  <c r="V66"/>
  <c r="V62"/>
  <c r="V58"/>
  <c r="V54"/>
  <c r="V50"/>
  <c r="V46"/>
  <c r="V42"/>
  <c r="V38"/>
  <c r="V34"/>
  <c r="V30"/>
  <c r="V26"/>
  <c r="V22"/>
  <c r="V18"/>
  <c r="V14"/>
  <c r="U20"/>
  <c r="U16"/>
  <c r="V112"/>
  <c r="V88"/>
  <c r="V80"/>
  <c r="V64"/>
  <c r="V56"/>
  <c r="V48"/>
  <c r="V40"/>
  <c r="V32"/>
  <c r="V20"/>
  <c r="U22"/>
  <c r="U14"/>
  <c r="AC17"/>
  <c r="AC13"/>
  <c r="AD84"/>
  <c r="AD80"/>
  <c r="AD76"/>
  <c r="AD72"/>
  <c r="AD68"/>
  <c r="AD64"/>
  <c r="AD60"/>
  <c r="AD56"/>
  <c r="AD52"/>
  <c r="AD48"/>
  <c r="AD44"/>
  <c r="AD40"/>
  <c r="AD36"/>
  <c r="AD32"/>
  <c r="AD28"/>
  <c r="AD24"/>
  <c r="AD20"/>
  <c r="AD16"/>
  <c r="AD12"/>
  <c r="V115"/>
  <c r="V111"/>
  <c r="V107"/>
  <c r="V103"/>
  <c r="V99"/>
  <c r="V95"/>
  <c r="V91"/>
  <c r="V87"/>
  <c r="V83"/>
  <c r="V79"/>
  <c r="V75"/>
  <c r="V71"/>
  <c r="V67"/>
  <c r="V63"/>
  <c r="V59"/>
  <c r="V55"/>
  <c r="V51"/>
  <c r="V47"/>
  <c r="V43"/>
  <c r="V39"/>
  <c r="V35"/>
  <c r="V31"/>
  <c r="V27"/>
  <c r="V23"/>
  <c r="V19"/>
  <c r="V15"/>
  <c r="U21"/>
  <c r="U17"/>
  <c r="AD45"/>
  <c r="AD33"/>
  <c r="AD25"/>
  <c r="AD17"/>
  <c r="AD13"/>
  <c r="U13"/>
  <c r="V104"/>
  <c r="V100"/>
  <c r="V96"/>
  <c r="V92"/>
  <c r="V84"/>
  <c r="V76"/>
  <c r="V68"/>
  <c r="V60"/>
  <c r="V52"/>
  <c r="V44"/>
  <c r="V36"/>
  <c r="V24"/>
  <c r="V16"/>
  <c r="U18"/>
  <c r="V144" i="9"/>
  <c r="V140"/>
  <c r="V136"/>
  <c r="V132"/>
  <c r="V128"/>
  <c r="V124"/>
  <c r="V120"/>
  <c r="V116"/>
  <c r="V112"/>
  <c r="V108"/>
  <c r="V104"/>
  <c r="V100"/>
  <c r="V96"/>
  <c r="V92"/>
  <c r="V88"/>
  <c r="V84"/>
  <c r="V80"/>
  <c r="V76"/>
  <c r="V72"/>
  <c r="V68"/>
  <c r="V64"/>
  <c r="V60"/>
  <c r="V56"/>
  <c r="V52"/>
  <c r="V48"/>
  <c r="V44"/>
  <c r="V40"/>
  <c r="V36"/>
  <c r="V32"/>
  <c r="V28"/>
  <c r="V24"/>
  <c r="V20"/>
  <c r="V16"/>
  <c r="V12"/>
  <c r="AC15"/>
  <c r="AC13"/>
  <c r="AC11"/>
  <c r="AC9"/>
  <c r="AC7"/>
  <c r="U22"/>
  <c r="U18"/>
  <c r="U14"/>
  <c r="U10"/>
  <c r="V145"/>
  <c r="V141"/>
  <c r="V137"/>
  <c r="V133"/>
  <c r="V129"/>
  <c r="V125"/>
  <c r="V121"/>
  <c r="V117"/>
  <c r="V113"/>
  <c r="V109"/>
  <c r="V105"/>
  <c r="V101"/>
  <c r="V97"/>
  <c r="V93"/>
  <c r="V89"/>
  <c r="V85"/>
  <c r="V81"/>
  <c r="V77"/>
  <c r="V73"/>
  <c r="V69"/>
  <c r="V65"/>
  <c r="V61"/>
  <c r="V57"/>
  <c r="V53"/>
  <c r="V49"/>
  <c r="V45"/>
  <c r="V41"/>
  <c r="V37"/>
  <c r="V33"/>
  <c r="V29"/>
  <c r="V25"/>
  <c r="V21"/>
  <c r="V17"/>
  <c r="V13"/>
  <c r="AD105"/>
  <c r="AD103"/>
  <c r="AD101"/>
  <c r="AD99"/>
  <c r="AD97"/>
  <c r="AD95"/>
  <c r="AD93"/>
  <c r="AD91"/>
  <c r="AD89"/>
  <c r="AD87"/>
  <c r="AD85"/>
  <c r="AD83"/>
  <c r="AD81"/>
  <c r="AD79"/>
  <c r="AD77"/>
  <c r="AD75"/>
  <c r="AD73"/>
  <c r="AD71"/>
  <c r="AD69"/>
  <c r="AD67"/>
  <c r="AD65"/>
  <c r="AD63"/>
  <c r="AD61"/>
  <c r="AD59"/>
  <c r="AD57"/>
  <c r="AD55"/>
  <c r="AD53"/>
  <c r="AD51"/>
  <c r="AD49"/>
  <c r="AD47"/>
  <c r="AD45"/>
  <c r="AD43"/>
  <c r="AD41"/>
  <c r="AD39"/>
  <c r="AD37"/>
  <c r="AD35"/>
  <c r="AD33"/>
  <c r="AD31"/>
  <c r="AD29"/>
  <c r="AD27"/>
  <c r="AD25"/>
  <c r="AD23"/>
  <c r="AD21"/>
  <c r="AD19"/>
  <c r="AD17"/>
  <c r="AD15"/>
  <c r="AD13"/>
  <c r="AD11"/>
  <c r="AD9"/>
  <c r="AD7"/>
  <c r="U23"/>
  <c r="U19"/>
  <c r="U15"/>
  <c r="U11"/>
  <c r="V142"/>
  <c r="V138"/>
  <c r="V134"/>
  <c r="V130"/>
  <c r="V126"/>
  <c r="V122"/>
  <c r="V118"/>
  <c r="V114"/>
  <c r="V110"/>
  <c r="V106"/>
  <c r="V102"/>
  <c r="V98"/>
  <c r="V94"/>
  <c r="V90"/>
  <c r="V86"/>
  <c r="V82"/>
  <c r="V78"/>
  <c r="V74"/>
  <c r="V70"/>
  <c r="V66"/>
  <c r="V62"/>
  <c r="V58"/>
  <c r="V54"/>
  <c r="V50"/>
  <c r="V46"/>
  <c r="V42"/>
  <c r="V38"/>
  <c r="V34"/>
  <c r="V30"/>
  <c r="V26"/>
  <c r="V22"/>
  <c r="V18"/>
  <c r="V14"/>
  <c r="V10"/>
  <c r="AC16"/>
  <c r="AC14"/>
  <c r="AC12"/>
  <c r="AC10"/>
  <c r="AC8"/>
  <c r="U24"/>
  <c r="U20"/>
  <c r="U16"/>
  <c r="U12"/>
  <c r="V143"/>
  <c r="V139"/>
  <c r="V135"/>
  <c r="V131"/>
  <c r="V127"/>
  <c r="V123"/>
  <c r="V119"/>
  <c r="V115"/>
  <c r="V111"/>
  <c r="V107"/>
  <c r="V103"/>
  <c r="V99"/>
  <c r="V95"/>
  <c r="V91"/>
  <c r="V87"/>
  <c r="V83"/>
  <c r="V79"/>
  <c r="V75"/>
  <c r="V71"/>
  <c r="V67"/>
  <c r="V63"/>
  <c r="V59"/>
  <c r="V55"/>
  <c r="V51"/>
  <c r="V47"/>
  <c r="V43"/>
  <c r="V39"/>
  <c r="V35"/>
  <c r="V31"/>
  <c r="V27"/>
  <c r="V23"/>
  <c r="V19"/>
  <c r="V15"/>
  <c r="V11"/>
  <c r="AD104"/>
  <c r="AD102"/>
  <c r="AD100"/>
  <c r="AD98"/>
  <c r="AD96"/>
  <c r="AD94"/>
  <c r="AD92"/>
  <c r="AD90"/>
  <c r="AD88"/>
  <c r="AD86"/>
  <c r="AD84"/>
  <c r="AD82"/>
  <c r="AD80"/>
  <c r="AD78"/>
  <c r="AD76"/>
  <c r="AD74"/>
  <c r="AD72"/>
  <c r="AD70"/>
  <c r="AD68"/>
  <c r="AD66"/>
  <c r="AD64"/>
  <c r="AD62"/>
  <c r="AD60"/>
  <c r="AD58"/>
  <c r="AD56"/>
  <c r="AD54"/>
  <c r="AD52"/>
  <c r="AD50"/>
  <c r="AD48"/>
  <c r="AD46"/>
  <c r="AD44"/>
  <c r="AD42"/>
  <c r="AD40"/>
  <c r="AD38"/>
  <c r="AD36"/>
  <c r="AD34"/>
  <c r="AD32"/>
  <c r="AD30"/>
  <c r="AD28"/>
  <c r="AD26"/>
  <c r="AD24"/>
  <c r="AD22"/>
  <c r="AD20"/>
  <c r="AD18"/>
  <c r="AD16"/>
  <c r="AD14"/>
  <c r="AD12"/>
  <c r="AD10"/>
  <c r="AD8"/>
  <c r="U21"/>
  <c r="U17"/>
  <c r="U13"/>
  <c r="F42" i="11"/>
  <c r="AB27" i="13" s="1"/>
  <c r="AD27" s="1"/>
  <c r="I31" i="9"/>
  <c r="H31"/>
  <c r="K13" i="3"/>
  <c r="AU56" i="4" s="1"/>
  <c r="AX56" s="1"/>
  <c r="L13" i="3"/>
  <c r="AU63" i="4" s="1"/>
  <c r="AX63" s="1"/>
  <c r="K14" i="3"/>
  <c r="AU58" i="4" s="1"/>
  <c r="AX58" s="1"/>
  <c r="L14" i="3"/>
  <c r="AU65" i="4" s="1"/>
  <c r="AX65" s="1"/>
  <c r="G31" i="9"/>
  <c r="E31"/>
  <c r="K31"/>
  <c r="J31"/>
  <c r="F31"/>
  <c r="AN14" i="4"/>
  <c r="AN18" s="1"/>
  <c r="F33" i="6"/>
  <c r="E33"/>
  <c r="E35"/>
  <c r="F34"/>
  <c r="F35"/>
  <c r="I33"/>
  <c r="I34"/>
  <c r="I36"/>
  <c r="D33"/>
  <c r="G35"/>
  <c r="K35"/>
  <c r="H35"/>
  <c r="J35"/>
  <c r="D34"/>
  <c r="G34"/>
  <c r="K34"/>
  <c r="H34"/>
  <c r="J33"/>
  <c r="I35"/>
  <c r="G33"/>
  <c r="D36"/>
  <c r="K33"/>
  <c r="F36"/>
  <c r="E34"/>
  <c r="E36"/>
  <c r="J36"/>
  <c r="G36"/>
  <c r="H36"/>
  <c r="P14"/>
  <c r="P11" i="16"/>
  <c r="O11"/>
  <c r="P8"/>
  <c r="Q21" s="1"/>
  <c r="P7"/>
  <c r="P6"/>
  <c r="P5"/>
  <c r="O7"/>
  <c r="O6"/>
  <c r="O5"/>
  <c r="N11"/>
  <c r="N8"/>
  <c r="N5"/>
  <c r="M9"/>
  <c r="M8"/>
  <c r="N21" s="1"/>
  <c r="M21" s="1"/>
  <c r="M6"/>
  <c r="M5"/>
  <c r="X8"/>
  <c r="X7"/>
  <c r="X14"/>
  <c r="Q27" s="1"/>
  <c r="X13"/>
  <c r="Q26" s="1"/>
  <c r="X12"/>
  <c r="Q25" s="1"/>
  <c r="X11"/>
  <c r="X10"/>
  <c r="X9"/>
  <c r="X6"/>
  <c r="X5"/>
  <c r="V12"/>
  <c r="O25" s="1"/>
  <c r="V9"/>
  <c r="V7"/>
  <c r="V11"/>
  <c r="V10"/>
  <c r="V8"/>
  <c r="V6"/>
  <c r="V5"/>
  <c r="T6"/>
  <c r="T5"/>
  <c r="T4"/>
  <c r="W7"/>
  <c r="W6"/>
  <c r="W14"/>
  <c r="P27" s="1"/>
  <c r="W13"/>
  <c r="P26" s="1"/>
  <c r="W12"/>
  <c r="P25" s="1"/>
  <c r="W11"/>
  <c r="W10"/>
  <c r="W9"/>
  <c r="W8"/>
  <c r="W5"/>
  <c r="U9"/>
  <c r="U8"/>
  <c r="U12"/>
  <c r="N25" s="1"/>
  <c r="M25" s="1"/>
  <c r="U11"/>
  <c r="U10"/>
  <c r="U7"/>
  <c r="U6"/>
  <c r="U5"/>
  <c r="I4" s="1"/>
  <c r="S6"/>
  <c r="S5"/>
  <c r="S4"/>
  <c r="P10"/>
  <c r="Q23" s="1"/>
  <c r="P9"/>
  <c r="Q22" s="1"/>
  <c r="P4"/>
  <c r="O10"/>
  <c r="P23" s="1"/>
  <c r="O9"/>
  <c r="P22" s="1"/>
  <c r="O8"/>
  <c r="O4"/>
  <c r="N10"/>
  <c r="O23" s="1"/>
  <c r="N9"/>
  <c r="O22" s="1"/>
  <c r="N7"/>
  <c r="O20" s="1"/>
  <c r="N6"/>
  <c r="O19" s="1"/>
  <c r="N4"/>
  <c r="M11"/>
  <c r="N24" s="1"/>
  <c r="M24" s="1"/>
  <c r="M10"/>
  <c r="N23" s="1"/>
  <c r="M23" s="1"/>
  <c r="M7"/>
  <c r="N20" s="1"/>
  <c r="M20" s="1"/>
  <c r="M4"/>
  <c r="L6"/>
  <c r="L19" s="1"/>
  <c r="L5"/>
  <c r="L18" s="1"/>
  <c r="L4"/>
  <c r="L17" s="1"/>
  <c r="K6"/>
  <c r="K19" s="1"/>
  <c r="K5"/>
  <c r="K18" s="1"/>
  <c r="K4"/>
  <c r="AP62" i="13"/>
  <c r="AP58"/>
  <c r="AN20"/>
  <c r="AP61" i="12"/>
  <c r="AP58"/>
  <c r="AP33"/>
  <c r="AR30"/>
  <c r="AZ64" i="4" l="1"/>
  <c r="AB26" i="13" s="1"/>
  <c r="AD26" s="1"/>
  <c r="AF20"/>
  <c r="AH20"/>
  <c r="AD18" i="4"/>
  <c r="AG18"/>
  <c r="AZ57"/>
  <c r="AB25" i="13" s="1"/>
  <c r="AD25" s="1"/>
  <c r="N18" i="16"/>
  <c r="M18" s="1"/>
  <c r="O18"/>
  <c r="P19"/>
  <c r="Q20"/>
  <c r="K17"/>
  <c r="P21"/>
  <c r="N22"/>
  <c r="M22" s="1"/>
  <c r="P18"/>
  <c r="Q19"/>
  <c r="Q24"/>
  <c r="O24"/>
  <c r="Q18"/>
  <c r="P24"/>
  <c r="N19"/>
  <c r="M19" s="1"/>
  <c r="O21"/>
  <c r="P20"/>
  <c r="G5"/>
  <c r="G6" s="1"/>
  <c r="I6"/>
  <c r="I9"/>
  <c r="I15"/>
  <c r="I11"/>
  <c r="I14"/>
  <c r="I12"/>
  <c r="I5"/>
  <c r="I8"/>
  <c r="I7"/>
  <c r="I10"/>
  <c r="I13"/>
  <c r="F10"/>
  <c r="F11" s="1"/>
  <c r="E3" s="1"/>
  <c r="G29" s="1"/>
  <c r="I20" i="11"/>
  <c r="K35"/>
  <c r="G32" s="1"/>
  <c r="C20"/>
  <c r="AQ13" i="5"/>
  <c r="B20" i="9" s="1"/>
  <c r="C24" i="17"/>
  <c r="C47"/>
  <c r="D33" i="9"/>
  <c r="E33" s="1"/>
  <c r="L31" s="1"/>
  <c r="D38" i="6"/>
  <c r="E38" s="1"/>
  <c r="L34" s="1"/>
  <c r="G20" i="9"/>
  <c r="H21" i="6"/>
  <c r="C22"/>
  <c r="D23"/>
  <c r="H20"/>
  <c r="D20"/>
  <c r="H23"/>
  <c r="G22"/>
  <c r="D21"/>
  <c r="B23"/>
  <c r="G21"/>
  <c r="B20"/>
  <c r="P15"/>
  <c r="I3" i="16"/>
  <c r="H2" s="1"/>
  <c r="AP60" i="13"/>
  <c r="AP54" s="1"/>
  <c r="AN59" i="12"/>
  <c r="AN43" s="1"/>
  <c r="AR29"/>
  <c r="AT23"/>
  <c r="AR25" s="1"/>
  <c r="AN6" i="7"/>
  <c r="AB7" i="9"/>
  <c r="T10"/>
  <c r="X8"/>
  <c r="X9" s="1"/>
  <c r="X10" s="1"/>
  <c r="X11" s="1"/>
  <c r="X12" s="1"/>
  <c r="X13" s="1"/>
  <c r="X14" s="1"/>
  <c r="X15" s="1"/>
  <c r="X16" s="1"/>
  <c r="X17" s="1"/>
  <c r="X18" s="1"/>
  <c r="X19" s="1"/>
  <c r="X20" s="1"/>
  <c r="X21" s="1"/>
  <c r="X22" s="1"/>
  <c r="X23" s="1"/>
  <c r="X24" s="1"/>
  <c r="X25" s="1"/>
  <c r="X26" s="1"/>
  <c r="X27" s="1"/>
  <c r="X28" s="1"/>
  <c r="X29" s="1"/>
  <c r="X30" s="1"/>
  <c r="X31" s="1"/>
  <c r="X32" s="1"/>
  <c r="X33" s="1"/>
  <c r="X34" s="1"/>
  <c r="X35" s="1"/>
  <c r="X36" s="1"/>
  <c r="X37" s="1"/>
  <c r="X38" s="1"/>
  <c r="X39" s="1"/>
  <c r="X40" s="1"/>
  <c r="X41" s="1"/>
  <c r="X42" s="1"/>
  <c r="X43" s="1"/>
  <c r="X44" s="1"/>
  <c r="X45" s="1"/>
  <c r="X46" s="1"/>
  <c r="X47" s="1"/>
  <c r="X48" s="1"/>
  <c r="X49" s="1"/>
  <c r="X50" s="1"/>
  <c r="X51" s="1"/>
  <c r="X52" s="1"/>
  <c r="X53" s="1"/>
  <c r="X54" s="1"/>
  <c r="X55" s="1"/>
  <c r="X56" s="1"/>
  <c r="X57" s="1"/>
  <c r="X58" s="1"/>
  <c r="X59" s="1"/>
  <c r="X60" s="1"/>
  <c r="X61" s="1"/>
  <c r="X62" s="1"/>
  <c r="X63" s="1"/>
  <c r="X64" s="1"/>
  <c r="X65" s="1"/>
  <c r="X66" s="1"/>
  <c r="X67" s="1"/>
  <c r="X68" s="1"/>
  <c r="X69" s="1"/>
  <c r="X70" s="1"/>
  <c r="X71" s="1"/>
  <c r="X72" s="1"/>
  <c r="X73" s="1"/>
  <c r="X74" s="1"/>
  <c r="X75" s="1"/>
  <c r="X76" s="1"/>
  <c r="X77" s="1"/>
  <c r="X78" s="1"/>
  <c r="X79" s="1"/>
  <c r="X80" s="1"/>
  <c r="X81" s="1"/>
  <c r="X82" s="1"/>
  <c r="X83" s="1"/>
  <c r="X84" s="1"/>
  <c r="X85" s="1"/>
  <c r="X86" s="1"/>
  <c r="X87" s="1"/>
  <c r="X88" s="1"/>
  <c r="X89" s="1"/>
  <c r="X90" s="1"/>
  <c r="X91" s="1"/>
  <c r="X92" s="1"/>
  <c r="X93" s="1"/>
  <c r="X94" s="1"/>
  <c r="X95" s="1"/>
  <c r="X96" s="1"/>
  <c r="X97" s="1"/>
  <c r="X98" s="1"/>
  <c r="X99" s="1"/>
  <c r="X100" s="1"/>
  <c r="X101" s="1"/>
  <c r="X102" s="1"/>
  <c r="X103" s="1"/>
  <c r="X104" s="1"/>
  <c r="X105" s="1"/>
  <c r="AB105" s="1"/>
  <c r="P11"/>
  <c r="P12" s="1"/>
  <c r="P13" s="1"/>
  <c r="P14" s="1"/>
  <c r="P15" s="1"/>
  <c r="P16" s="1"/>
  <c r="P17" s="1"/>
  <c r="P18" s="1"/>
  <c r="P19" s="1"/>
  <c r="P20" s="1"/>
  <c r="P21" s="1"/>
  <c r="P22" s="1"/>
  <c r="P23" s="1"/>
  <c r="P24" s="1"/>
  <c r="I22" i="6" l="1"/>
  <c r="C20" i="9"/>
  <c r="I20"/>
  <c r="C21" i="6"/>
  <c r="I23"/>
  <c r="I20"/>
  <c r="B22"/>
  <c r="G23"/>
  <c r="G20"/>
  <c r="D20" i="9"/>
  <c r="D22" i="6"/>
  <c r="H22"/>
  <c r="C20"/>
  <c r="C23"/>
  <c r="I21"/>
  <c r="B21"/>
  <c r="H20" i="9"/>
  <c r="AD6" i="7"/>
  <c r="AG6"/>
  <c r="AD43" i="12"/>
  <c r="AE44" i="18" s="1"/>
  <c r="AG43" i="12"/>
  <c r="AN8" i="7"/>
  <c r="L36" i="6"/>
  <c r="G33" i="11"/>
  <c r="G35"/>
  <c r="M32"/>
  <c r="AN49" i="17" s="1"/>
  <c r="G34" i="11"/>
  <c r="L35" i="6"/>
  <c r="K22" i="11"/>
  <c r="J22"/>
  <c r="I22"/>
  <c r="I23"/>
  <c r="J24"/>
  <c r="K23"/>
  <c r="J23"/>
  <c r="K24"/>
  <c r="I24"/>
  <c r="L33" i="6"/>
  <c r="Z14" i="9"/>
  <c r="Y17"/>
  <c r="AB18"/>
  <c r="AB19"/>
  <c r="AB20"/>
  <c r="AB21"/>
  <c r="AB22"/>
  <c r="AB23"/>
  <c r="AB25"/>
  <c r="AB26"/>
  <c r="AB27"/>
  <c r="AB28"/>
  <c r="AB29"/>
  <c r="AB30"/>
  <c r="AB31"/>
  <c r="AB32"/>
  <c r="AB33"/>
  <c r="AB34"/>
  <c r="AB35"/>
  <c r="AB36"/>
  <c r="AB37"/>
  <c r="AB38"/>
  <c r="AB40"/>
  <c r="AB41"/>
  <c r="AB42"/>
  <c r="AB43"/>
  <c r="AB44"/>
  <c r="AB45"/>
  <c r="AB46"/>
  <c r="AB47"/>
  <c r="AB49"/>
  <c r="AB50"/>
  <c r="AB51"/>
  <c r="AB52"/>
  <c r="AB54"/>
  <c r="Z13"/>
  <c r="AA18"/>
  <c r="AA19"/>
  <c r="AA20"/>
  <c r="AA21"/>
  <c r="AA22"/>
  <c r="AA23"/>
  <c r="AA24"/>
  <c r="AA25"/>
  <c r="AA26"/>
  <c r="AA27"/>
  <c r="AA28"/>
  <c r="AA29"/>
  <c r="AA30"/>
  <c r="AA31"/>
  <c r="AA32"/>
  <c r="AA33"/>
  <c r="AA34"/>
  <c r="AA35"/>
  <c r="AA36"/>
  <c r="AA37"/>
  <c r="AA38"/>
  <c r="AA39"/>
  <c r="AA40"/>
  <c r="AA41"/>
  <c r="AA42"/>
  <c r="AA43"/>
  <c r="AA44"/>
  <c r="AA45"/>
  <c r="AA46"/>
  <c r="AA47"/>
  <c r="AA48"/>
  <c r="AA49"/>
  <c r="AA50"/>
  <c r="AA51"/>
  <c r="AA52"/>
  <c r="AA53"/>
  <c r="AA54"/>
  <c r="AA55"/>
  <c r="AA56"/>
  <c r="AA57"/>
  <c r="AA58"/>
  <c r="AA59"/>
  <c r="AA60"/>
  <c r="AA61"/>
  <c r="AA62"/>
  <c r="AA63"/>
  <c r="AA64"/>
  <c r="AA65"/>
  <c r="AA66"/>
  <c r="AA67"/>
  <c r="AA68"/>
  <c r="AA69"/>
  <c r="AA70"/>
  <c r="AA71"/>
  <c r="AA72"/>
  <c r="AA73"/>
  <c r="AA74"/>
  <c r="AA75"/>
  <c r="AA76"/>
  <c r="AA77"/>
  <c r="AA78"/>
  <c r="AA79"/>
  <c r="AA80"/>
  <c r="AA81"/>
  <c r="AA82"/>
  <c r="AA83"/>
  <c r="AA84"/>
  <c r="AA85"/>
  <c r="AA86"/>
  <c r="AA87"/>
  <c r="AA88"/>
  <c r="AA89"/>
  <c r="AA90"/>
  <c r="AA91"/>
  <c r="AA92"/>
  <c r="AA93"/>
  <c r="AA94"/>
  <c r="AA95"/>
  <c r="AA96"/>
  <c r="AA97"/>
  <c r="AA98"/>
  <c r="AA99"/>
  <c r="AA100"/>
  <c r="AA101"/>
  <c r="AA102"/>
  <c r="AA103"/>
  <c r="AA104"/>
  <c r="AA105"/>
  <c r="Z12"/>
  <c r="Z19"/>
  <c r="Z21"/>
  <c r="Z24"/>
  <c r="Z26"/>
  <c r="Z28"/>
  <c r="Z30"/>
  <c r="Z32"/>
  <c r="Z34"/>
  <c r="Z36"/>
  <c r="Z38"/>
  <c r="Z40"/>
  <c r="Z41"/>
  <c r="Z43"/>
  <c r="Z44"/>
  <c r="Z46"/>
  <c r="Z47"/>
  <c r="Z48"/>
  <c r="Z50"/>
  <c r="Z51"/>
  <c r="Z52"/>
  <c r="Z54"/>
  <c r="Z55"/>
  <c r="Z56"/>
  <c r="Z57"/>
  <c r="Z58"/>
  <c r="Z59"/>
  <c r="Z60"/>
  <c r="Z61"/>
  <c r="Z62"/>
  <c r="Z63"/>
  <c r="Z64"/>
  <c r="Z66"/>
  <c r="Z67"/>
  <c r="Z68"/>
  <c r="Z69"/>
  <c r="Z70"/>
  <c r="Z71"/>
  <c r="Z72"/>
  <c r="Z73"/>
  <c r="Z74"/>
  <c r="Z75"/>
  <c r="Z76"/>
  <c r="Z77"/>
  <c r="Z78"/>
  <c r="Z79"/>
  <c r="Z80"/>
  <c r="Z81"/>
  <c r="Z82"/>
  <c r="Z83"/>
  <c r="Z84"/>
  <c r="Z85"/>
  <c r="Z86"/>
  <c r="Z87"/>
  <c r="Z88"/>
  <c r="Z89"/>
  <c r="Z90"/>
  <c r="Z91"/>
  <c r="Z92"/>
  <c r="Z93"/>
  <c r="Z94"/>
  <c r="Z95"/>
  <c r="Z96"/>
  <c r="Z97"/>
  <c r="Z98"/>
  <c r="Z99"/>
  <c r="Z100"/>
  <c r="Z101"/>
  <c r="Z102"/>
  <c r="Z103"/>
  <c r="Z104"/>
  <c r="Z105"/>
  <c r="Z16"/>
  <c r="Z20"/>
  <c r="Z22"/>
  <c r="Z23"/>
  <c r="Z25"/>
  <c r="Z27"/>
  <c r="Z29"/>
  <c r="Z31"/>
  <c r="Z33"/>
  <c r="Z35"/>
  <c r="Z37"/>
  <c r="Z39"/>
  <c r="Z42"/>
  <c r="Z45"/>
  <c r="Z49"/>
  <c r="Z53"/>
  <c r="Z65"/>
  <c r="Z11"/>
  <c r="Z15"/>
  <c r="Y18"/>
  <c r="Y19"/>
  <c r="Y20"/>
  <c r="Y21"/>
  <c r="Y22"/>
  <c r="Y23"/>
  <c r="Y24"/>
  <c r="Y25"/>
  <c r="Y26"/>
  <c r="Y27"/>
  <c r="Y28"/>
  <c r="Y29"/>
  <c r="Y30"/>
  <c r="Y31"/>
  <c r="Y32"/>
  <c r="Y33"/>
  <c r="Y34"/>
  <c r="Y35"/>
  <c r="Y36"/>
  <c r="Y37"/>
  <c r="Y38"/>
  <c r="Y39"/>
  <c r="Y40"/>
  <c r="Y41"/>
  <c r="Y42"/>
  <c r="Y43"/>
  <c r="Y44"/>
  <c r="Y45"/>
  <c r="Y46"/>
  <c r="Y47"/>
  <c r="Y48"/>
  <c r="Y49"/>
  <c r="Y50"/>
  <c r="Y51"/>
  <c r="Y52"/>
  <c r="Y53"/>
  <c r="Y54"/>
  <c r="Y55"/>
  <c r="Y56"/>
  <c r="Y57"/>
  <c r="Y58"/>
  <c r="Y59"/>
  <c r="Y60"/>
  <c r="Y61"/>
  <c r="Y62"/>
  <c r="Y63"/>
  <c r="Y64"/>
  <c r="Y65"/>
  <c r="Y66"/>
  <c r="Y67"/>
  <c r="Y68"/>
  <c r="Y69"/>
  <c r="Y70"/>
  <c r="Y71"/>
  <c r="Y72"/>
  <c r="Y73"/>
  <c r="Y74"/>
  <c r="Y75"/>
  <c r="Y76"/>
  <c r="Y77"/>
  <c r="Y78"/>
  <c r="Y79"/>
  <c r="Y80"/>
  <c r="Y81"/>
  <c r="Y82"/>
  <c r="Y83"/>
  <c r="Y84"/>
  <c r="Y85"/>
  <c r="Y86"/>
  <c r="Y87"/>
  <c r="Y88"/>
  <c r="Y89"/>
  <c r="Y90"/>
  <c r="Y91"/>
  <c r="Y92"/>
  <c r="Y93"/>
  <c r="Y94"/>
  <c r="Y95"/>
  <c r="Y96"/>
  <c r="Y97"/>
  <c r="Y98"/>
  <c r="Y99"/>
  <c r="Y100"/>
  <c r="Y101"/>
  <c r="Y102"/>
  <c r="Y103"/>
  <c r="Y104"/>
  <c r="Y105"/>
  <c r="Z18"/>
  <c r="AB24"/>
  <c r="AB39"/>
  <c r="AB48"/>
  <c r="AB53"/>
  <c r="AB55"/>
  <c r="AB56"/>
  <c r="AB57"/>
  <c r="AB58"/>
  <c r="AB59"/>
  <c r="AB60"/>
  <c r="AB61"/>
  <c r="AB62"/>
  <c r="AB63"/>
  <c r="AB64"/>
  <c r="AB65"/>
  <c r="AB66"/>
  <c r="AB67"/>
  <c r="AB68"/>
  <c r="AB69"/>
  <c r="AB70"/>
  <c r="AB71"/>
  <c r="AB72"/>
  <c r="AB73"/>
  <c r="AB74"/>
  <c r="AB75"/>
  <c r="AB76"/>
  <c r="AB77"/>
  <c r="AB78"/>
  <c r="AB79"/>
  <c r="AB80"/>
  <c r="AB81"/>
  <c r="AB82"/>
  <c r="AB83"/>
  <c r="AB84"/>
  <c r="AB85"/>
  <c r="AB86"/>
  <c r="AB87"/>
  <c r="AB88"/>
  <c r="AB89"/>
  <c r="AB90"/>
  <c r="AB91"/>
  <c r="AB92"/>
  <c r="AB93"/>
  <c r="AB94"/>
  <c r="AB95"/>
  <c r="AB96"/>
  <c r="AB97"/>
  <c r="AB98"/>
  <c r="AB99"/>
  <c r="AB100"/>
  <c r="AB101"/>
  <c r="AB102"/>
  <c r="AB103"/>
  <c r="AB104"/>
  <c r="P25"/>
  <c r="R24"/>
  <c r="P16" i="6"/>
  <c r="AN57" i="13"/>
  <c r="AN29" i="12"/>
  <c r="AF27" s="1"/>
  <c r="AH27" s="1"/>
  <c r="AR23"/>
  <c r="AN23" s="1"/>
  <c r="AQ65" i="7"/>
  <c r="J67" s="1"/>
  <c r="M67" s="1"/>
  <c r="AR65"/>
  <c r="T67" s="1"/>
  <c r="W67" s="1"/>
  <c r="AB8" i="9"/>
  <c r="AB12"/>
  <c r="AB16"/>
  <c r="AA13"/>
  <c r="AB11"/>
  <c r="AB15"/>
  <c r="AA12"/>
  <c r="AA16"/>
  <c r="AB10"/>
  <c r="AB14"/>
  <c r="AA11"/>
  <c r="AA15"/>
  <c r="AB9"/>
  <c r="AB13"/>
  <c r="AA14"/>
  <c r="R18"/>
  <c r="R20"/>
  <c r="R22"/>
  <c r="T13"/>
  <c r="T17"/>
  <c r="T21"/>
  <c r="S17"/>
  <c r="S19"/>
  <c r="S21"/>
  <c r="S23"/>
  <c r="T12"/>
  <c r="T16"/>
  <c r="T20"/>
  <c r="T24"/>
  <c r="R16"/>
  <c r="R17"/>
  <c r="R19"/>
  <c r="R21"/>
  <c r="R23"/>
  <c r="T11"/>
  <c r="T15"/>
  <c r="T19"/>
  <c r="T23"/>
  <c r="S16"/>
  <c r="S18"/>
  <c r="S20"/>
  <c r="S22"/>
  <c r="S24"/>
  <c r="T14"/>
  <c r="T18"/>
  <c r="T22"/>
  <c r="AH44" i="18" l="1"/>
  <c r="AM44"/>
  <c r="AE58" s="1"/>
  <c r="AF23" i="12"/>
  <c r="AH23" s="1"/>
  <c r="AF57" i="13"/>
  <c r="AH57"/>
  <c r="AD8" i="7"/>
  <c r="AE27" i="18" s="1"/>
  <c r="AG8" i="7"/>
  <c r="G36" i="11"/>
  <c r="AN26" i="17" s="1"/>
  <c r="AN6" s="1"/>
  <c r="AD6" s="1"/>
  <c r="L37" i="6"/>
  <c r="AN6" i="5" s="1"/>
  <c r="AD6" s="1"/>
  <c r="P26" i="9"/>
  <c r="Q25"/>
  <c r="P17" i="6"/>
  <c r="AN40" i="13"/>
  <c r="AN32" s="1"/>
  <c r="AN65" i="7"/>
  <c r="AH27" i="18" l="1"/>
  <c r="AM27"/>
  <c r="AB58" s="1"/>
  <c r="AG6" i="17"/>
  <c r="AE34" i="18"/>
  <c r="AG6" i="5"/>
  <c r="AE25" i="18"/>
  <c r="AD32" i="13"/>
  <c r="AE53" i="18" s="1"/>
  <c r="AG32" i="13"/>
  <c r="P27" i="9"/>
  <c r="Q26"/>
  <c r="T26"/>
  <c r="R26"/>
  <c r="S26"/>
  <c r="P18" i="6"/>
  <c r="AH53" i="18" l="1"/>
  <c r="AM53"/>
  <c r="AG58" s="1"/>
  <c r="AH34"/>
  <c r="AM34"/>
  <c r="AC58" s="1"/>
  <c r="AH25"/>
  <c r="AM25"/>
  <c r="AA58" s="1"/>
  <c r="P28" i="9"/>
  <c r="R27"/>
  <c r="Q27"/>
  <c r="S27"/>
  <c r="T27"/>
  <c r="P19" i="6"/>
  <c r="P29" i="9" l="1"/>
  <c r="R28"/>
  <c r="S28"/>
  <c r="Q28"/>
  <c r="T28"/>
  <c r="P20" i="6"/>
  <c r="P30" i="9" l="1"/>
  <c r="Q29"/>
  <c r="R29"/>
  <c r="T29"/>
  <c r="S29"/>
  <c r="P21" i="6"/>
  <c r="R15" i="16"/>
  <c r="B2" i="3"/>
  <c r="F97" i="11"/>
  <c r="E116"/>
  <c r="C118" s="1"/>
  <c r="C119"/>
  <c r="E97"/>
  <c r="C102"/>
  <c r="F118"/>
  <c r="E118"/>
  <c r="C123"/>
  <c r="E95"/>
  <c r="C97" s="1"/>
  <c r="C98"/>
  <c r="C121"/>
  <c r="J28" i="16" l="1"/>
  <c r="H15"/>
  <c r="P31" i="9"/>
  <c r="Q30"/>
  <c r="T30"/>
  <c r="R30"/>
  <c r="S30"/>
  <c r="P22" i="6"/>
  <c r="E6" i="3"/>
  <c r="E4"/>
  <c r="K4" l="1"/>
  <c r="L7"/>
  <c r="L4"/>
  <c r="K7"/>
  <c r="L8"/>
  <c r="AN65" i="4" s="1"/>
  <c r="AQ65" s="1"/>
  <c r="K5" i="3"/>
  <c r="L5"/>
  <c r="K8"/>
  <c r="AN58" i="4" s="1"/>
  <c r="AQ58" s="1"/>
  <c r="H13" i="16"/>
  <c r="J26"/>
  <c r="AN51" i="4"/>
  <c r="AQ51" s="1"/>
  <c r="P32" i="9"/>
  <c r="Q31"/>
  <c r="R31"/>
  <c r="S31"/>
  <c r="T31"/>
  <c r="P23" i="6"/>
  <c r="P33" i="9" l="1"/>
  <c r="S32"/>
  <c r="R32"/>
  <c r="Q32"/>
  <c r="T32"/>
  <c r="P24" i="6"/>
  <c r="AN49" i="4"/>
  <c r="AQ49" s="1"/>
  <c r="AS50" s="1"/>
  <c r="Z18" i="18" s="1"/>
  <c r="AC18" s="1"/>
  <c r="AN63" i="4"/>
  <c r="AN42"/>
  <c r="AQ42" s="1"/>
  <c r="AN44"/>
  <c r="AQ44" s="1"/>
  <c r="AN56"/>
  <c r="AQ56" l="1"/>
  <c r="AS57" s="1"/>
  <c r="T17" i="18" s="1"/>
  <c r="W17" s="1"/>
  <c r="AQ63" i="4"/>
  <c r="AS64" s="1"/>
  <c r="T18" i="18" s="1"/>
  <c r="W18" s="1"/>
  <c r="P34" i="9"/>
  <c r="Q33"/>
  <c r="S33"/>
  <c r="T33"/>
  <c r="R33"/>
  <c r="AS43" i="4"/>
  <c r="I34" i="16"/>
  <c r="C34"/>
  <c r="F34"/>
  <c r="G34"/>
  <c r="L34"/>
  <c r="D34"/>
  <c r="B34"/>
  <c r="M34"/>
  <c r="J34"/>
  <c r="K34"/>
  <c r="H34"/>
  <c r="E34"/>
  <c r="F3" l="1"/>
  <c r="G3" s="1"/>
  <c r="AN34" i="4"/>
  <c r="AN36" s="1"/>
  <c r="AN23" s="1"/>
  <c r="AE14" i="18" s="1"/>
  <c r="Z17"/>
  <c r="AC17" s="1"/>
  <c r="AN17" s="1"/>
  <c r="AN13" i="14"/>
  <c r="AG13" s="1"/>
  <c r="P35" i="9"/>
  <c r="Q34"/>
  <c r="T34"/>
  <c r="R34"/>
  <c r="S34"/>
  <c r="P26" i="6"/>
  <c r="D111" i="11"/>
  <c r="C111"/>
  <c r="AH14" i="18" l="1"/>
  <c r="AM14"/>
  <c r="Z58" s="1"/>
  <c r="AD13" i="14"/>
  <c r="AE55" i="18" s="1"/>
  <c r="P36" i="9"/>
  <c r="R35"/>
  <c r="Q35"/>
  <c r="S35"/>
  <c r="T35"/>
  <c r="S26" i="6"/>
  <c r="Q26"/>
  <c r="R26"/>
  <c r="T26"/>
  <c r="P27"/>
  <c r="C82" i="11"/>
  <c r="H94"/>
  <c r="H95"/>
  <c r="C81"/>
  <c r="G94"/>
  <c r="G95"/>
  <c r="C80"/>
  <c r="C85"/>
  <c r="C83"/>
  <c r="G92"/>
  <c r="H92"/>
  <c r="C116"/>
  <c r="G113"/>
  <c r="H113"/>
  <c r="D116"/>
  <c r="AH55" i="18" l="1"/>
  <c r="AM55"/>
  <c r="AH58" s="1"/>
  <c r="P37" i="9"/>
  <c r="R36"/>
  <c r="S36"/>
  <c r="Q36"/>
  <c r="T36"/>
  <c r="T27" i="6"/>
  <c r="R27"/>
  <c r="Q27"/>
  <c r="S27"/>
  <c r="P28"/>
  <c r="AP28" i="13"/>
  <c r="AP27"/>
  <c r="C90" i="11"/>
  <c r="C95" s="1"/>
  <c r="D97" s="1"/>
  <c r="D90"/>
  <c r="D95" s="1"/>
  <c r="G93"/>
  <c r="H93"/>
  <c r="F111"/>
  <c r="D118"/>
  <c r="P38" i="9" l="1"/>
  <c r="Q37"/>
  <c r="S37"/>
  <c r="T37"/>
  <c r="R37"/>
  <c r="T28" i="6"/>
  <c r="R28"/>
  <c r="S28"/>
  <c r="Q28"/>
  <c r="P29"/>
  <c r="AP26" i="13"/>
  <c r="AP25"/>
  <c r="F90" i="11"/>
  <c r="P39" i="9" l="1"/>
  <c r="Q38"/>
  <c r="T38"/>
  <c r="R38"/>
  <c r="S38"/>
  <c r="S29" i="6"/>
  <c r="Q29"/>
  <c r="T29"/>
  <c r="R29"/>
  <c r="P30"/>
  <c r="AN25" i="13"/>
  <c r="AH25" l="1"/>
  <c r="AF25"/>
  <c r="P40" i="9"/>
  <c r="R39"/>
  <c r="Q39"/>
  <c r="S39"/>
  <c r="T39"/>
  <c r="S30" i="6"/>
  <c r="R30"/>
  <c r="Q30"/>
  <c r="T30"/>
  <c r="P31"/>
  <c r="AN6" i="13"/>
  <c r="AD6" l="1"/>
  <c r="AE46" i="18" s="1"/>
  <c r="AG6" i="13"/>
  <c r="P41" i="9"/>
  <c r="R40"/>
  <c r="S40"/>
  <c r="Q40"/>
  <c r="T40"/>
  <c r="T31" i="6"/>
  <c r="R31"/>
  <c r="S31"/>
  <c r="Q31"/>
  <c r="P32"/>
  <c r="AH46" i="18" l="1"/>
  <c r="AM46"/>
  <c r="AF58" s="1"/>
  <c r="P42" i="9"/>
  <c r="Q41"/>
  <c r="R41"/>
  <c r="S41"/>
  <c r="T41"/>
  <c r="Q32" i="6"/>
  <c r="T32"/>
  <c r="R32"/>
  <c r="S32"/>
  <c r="P33"/>
  <c r="P43" i="9" l="1"/>
  <c r="Q42"/>
  <c r="T42"/>
  <c r="R42"/>
  <c r="S42"/>
  <c r="S33" i="6"/>
  <c r="Q33"/>
  <c r="T33"/>
  <c r="R33"/>
  <c r="P34"/>
  <c r="P44" i="9" l="1"/>
  <c r="Q43"/>
  <c r="R43"/>
  <c r="S43"/>
  <c r="T43"/>
  <c r="S34" i="6"/>
  <c r="Q34"/>
  <c r="T34"/>
  <c r="R34"/>
  <c r="P35"/>
  <c r="P45" i="9" l="1"/>
  <c r="R44"/>
  <c r="S44"/>
  <c r="Q44"/>
  <c r="T44"/>
  <c r="T35" i="6"/>
  <c r="R35"/>
  <c r="Q35"/>
  <c r="S35"/>
  <c r="P36"/>
  <c r="P46" i="9" l="1"/>
  <c r="Q45"/>
  <c r="S45"/>
  <c r="T45"/>
  <c r="R45"/>
  <c r="T36" i="6"/>
  <c r="R36"/>
  <c r="S36"/>
  <c r="Q36"/>
  <c r="P37"/>
  <c r="P47" i="9" l="1"/>
  <c r="Q46"/>
  <c r="T46"/>
  <c r="R46"/>
  <c r="S46"/>
  <c r="S37" i="6"/>
  <c r="Q37"/>
  <c r="T37"/>
  <c r="R37"/>
  <c r="P38"/>
  <c r="P48" i="9" l="1"/>
  <c r="Q47"/>
  <c r="R47"/>
  <c r="S47"/>
  <c r="T47"/>
  <c r="S38" i="6"/>
  <c r="Q38"/>
  <c r="R38"/>
  <c r="T38"/>
  <c r="P39"/>
  <c r="P49" i="9" l="1"/>
  <c r="R48"/>
  <c r="S48"/>
  <c r="Q48"/>
  <c r="T48"/>
  <c r="T39" i="6"/>
  <c r="R39"/>
  <c r="S39"/>
  <c r="Q39"/>
  <c r="P40"/>
  <c r="P50" i="9" l="1"/>
  <c r="Q49"/>
  <c r="S49"/>
  <c r="T49"/>
  <c r="R49"/>
  <c r="T40" i="6"/>
  <c r="R40"/>
  <c r="S40"/>
  <c r="Q40"/>
  <c r="P41"/>
  <c r="P51" i="9" l="1"/>
  <c r="Q50"/>
  <c r="T50"/>
  <c r="R50"/>
  <c r="S50"/>
  <c r="S41" i="6"/>
  <c r="Q41"/>
  <c r="T41"/>
  <c r="R41"/>
  <c r="P42"/>
  <c r="P52" i="9" l="1"/>
  <c r="Q51"/>
  <c r="R51"/>
  <c r="S51"/>
  <c r="T51"/>
  <c r="S42" i="6"/>
  <c r="R42"/>
  <c r="Q42"/>
  <c r="T42"/>
  <c r="P43"/>
  <c r="P53" i="9" l="1"/>
  <c r="R52"/>
  <c r="S52"/>
  <c r="Q52"/>
  <c r="T52"/>
  <c r="T43" i="6"/>
  <c r="R43"/>
  <c r="Q43"/>
  <c r="S43"/>
  <c r="P44"/>
  <c r="P54" i="9" l="1"/>
  <c r="Q53"/>
  <c r="R53"/>
  <c r="S53"/>
  <c r="T53"/>
  <c r="Q44" i="6"/>
  <c r="T44"/>
  <c r="R44"/>
  <c r="S44"/>
  <c r="P45"/>
  <c r="P55" i="9" l="1"/>
  <c r="Q54"/>
  <c r="T54"/>
  <c r="R54"/>
  <c r="S54"/>
  <c r="S45" i="6"/>
  <c r="Q45"/>
  <c r="T45"/>
  <c r="R45"/>
  <c r="P46"/>
  <c r="P56" i="9" l="1"/>
  <c r="Q55"/>
  <c r="R55"/>
  <c r="S55"/>
  <c r="T55"/>
  <c r="S46" i="6"/>
  <c r="Q46"/>
  <c r="R46"/>
  <c r="T46"/>
  <c r="P47"/>
  <c r="P57" i="9" l="1"/>
  <c r="R56"/>
  <c r="S56"/>
  <c r="Q56"/>
  <c r="T56"/>
  <c r="T47" i="6"/>
  <c r="R47"/>
  <c r="S47"/>
  <c r="Q47"/>
  <c r="P48"/>
  <c r="P58" i="9" l="1"/>
  <c r="Q57"/>
  <c r="S57"/>
  <c r="T57"/>
  <c r="R57"/>
  <c r="T48" i="6"/>
  <c r="R48"/>
  <c r="Q48"/>
  <c r="S48"/>
  <c r="P49"/>
  <c r="P59" i="9" l="1"/>
  <c r="Q58"/>
  <c r="T58"/>
  <c r="R58"/>
  <c r="S58"/>
  <c r="S49" i="6"/>
  <c r="Q49"/>
  <c r="T49"/>
  <c r="R49"/>
  <c r="P50"/>
  <c r="P60" i="9" l="1"/>
  <c r="R59"/>
  <c r="Q59"/>
  <c r="S59"/>
  <c r="T59"/>
  <c r="S50" i="6"/>
  <c r="Q50"/>
  <c r="R50"/>
  <c r="T50"/>
  <c r="P51"/>
  <c r="P61" i="9" l="1"/>
  <c r="R60"/>
  <c r="S60"/>
  <c r="Q60"/>
  <c r="T60"/>
  <c r="T51" i="6"/>
  <c r="R51"/>
  <c r="S51"/>
  <c r="Q51"/>
  <c r="P52"/>
  <c r="P62" i="9" l="1"/>
  <c r="Q61"/>
  <c r="S61"/>
  <c r="T61"/>
  <c r="R61"/>
  <c r="T52" i="6"/>
  <c r="R52"/>
  <c r="Q52"/>
  <c r="S52"/>
  <c r="P53"/>
  <c r="P63" i="9" l="1"/>
  <c r="Q62"/>
  <c r="T62"/>
  <c r="R62"/>
  <c r="S62"/>
  <c r="S53" i="6"/>
  <c r="Q53"/>
  <c r="T53"/>
  <c r="R53"/>
  <c r="P54"/>
  <c r="P64" i="9" l="1"/>
  <c r="T63"/>
  <c r="Q63"/>
  <c r="R63"/>
  <c r="S63"/>
  <c r="S54" i="6"/>
  <c r="R54"/>
  <c r="Q54"/>
  <c r="T54"/>
  <c r="P55"/>
  <c r="P65" i="9" l="1"/>
  <c r="R64"/>
  <c r="S64"/>
  <c r="Q64"/>
  <c r="T64"/>
  <c r="T55" i="6"/>
  <c r="R55"/>
  <c r="S55"/>
  <c r="Q55"/>
  <c r="P56"/>
  <c r="P66" i="9" l="1"/>
  <c r="Q65"/>
  <c r="S65"/>
  <c r="T65"/>
  <c r="R65"/>
  <c r="Q56" i="6"/>
  <c r="T56"/>
  <c r="R56"/>
  <c r="S56"/>
  <c r="P57"/>
  <c r="P67" i="9" l="1"/>
  <c r="Q66"/>
  <c r="T66"/>
  <c r="R66"/>
  <c r="S66"/>
  <c r="S57" i="6"/>
  <c r="Q57"/>
  <c r="T57"/>
  <c r="R57"/>
  <c r="P58"/>
  <c r="P68" i="9" l="1"/>
  <c r="R67"/>
  <c r="Q67"/>
  <c r="S67"/>
  <c r="T67"/>
  <c r="S58" i="6"/>
  <c r="Q58"/>
  <c r="R58"/>
  <c r="T58"/>
  <c r="P59"/>
  <c r="P69" i="9" l="1"/>
  <c r="R68"/>
  <c r="S68"/>
  <c r="Q68"/>
  <c r="T68"/>
  <c r="T59" i="6"/>
  <c r="R59"/>
  <c r="Q59"/>
  <c r="S59"/>
  <c r="P60"/>
  <c r="P70" i="9" l="1"/>
  <c r="Q69"/>
  <c r="S69"/>
  <c r="T69"/>
  <c r="R69"/>
  <c r="Q60" i="6"/>
  <c r="T60"/>
  <c r="R60"/>
  <c r="S60"/>
  <c r="P61"/>
  <c r="P71" i="9" l="1"/>
  <c r="Q70"/>
  <c r="T70"/>
  <c r="R70"/>
  <c r="S70"/>
  <c r="S61" i="6"/>
  <c r="Q61"/>
  <c r="T61"/>
  <c r="R61"/>
  <c r="P62"/>
  <c r="P72" i="9" l="1"/>
  <c r="T71"/>
  <c r="Q71"/>
  <c r="R71"/>
  <c r="S71"/>
  <c r="S62" i="6"/>
  <c r="R62"/>
  <c r="Q62"/>
  <c r="T62"/>
  <c r="P63"/>
  <c r="P73" i="9" l="1"/>
  <c r="R72"/>
  <c r="S72"/>
  <c r="Q72"/>
  <c r="T72"/>
  <c r="T63" i="6"/>
  <c r="R63"/>
  <c r="S63"/>
  <c r="Q63"/>
  <c r="P64"/>
  <c r="P74" i="9" l="1"/>
  <c r="Q73"/>
  <c r="S73"/>
  <c r="T73"/>
  <c r="R73"/>
  <c r="Q64" i="6"/>
  <c r="T64"/>
  <c r="R64"/>
  <c r="S64"/>
  <c r="P65"/>
  <c r="P75" i="9" l="1"/>
  <c r="Q74"/>
  <c r="T74"/>
  <c r="R74"/>
  <c r="S74"/>
  <c r="S65" i="6"/>
  <c r="Q65"/>
  <c r="T65"/>
  <c r="R65"/>
  <c r="P66"/>
  <c r="P76" i="9" l="1"/>
  <c r="R75"/>
  <c r="Q75"/>
  <c r="S75"/>
  <c r="T75"/>
  <c r="S66" i="6"/>
  <c r="Q66"/>
  <c r="R66"/>
  <c r="T66"/>
  <c r="P67"/>
  <c r="P77" i="9" l="1"/>
  <c r="R76"/>
  <c r="S76"/>
  <c r="Q76"/>
  <c r="T76"/>
  <c r="T67" i="6"/>
  <c r="R67"/>
  <c r="Q67"/>
  <c r="S67"/>
  <c r="P68"/>
  <c r="P78" i="9" l="1"/>
  <c r="Q77"/>
  <c r="S77"/>
  <c r="T77"/>
  <c r="R77"/>
  <c r="Q68" i="6"/>
  <c r="T68"/>
  <c r="R68"/>
  <c r="S68"/>
  <c r="P69"/>
  <c r="P79" i="9" l="1"/>
  <c r="S78"/>
  <c r="Q78"/>
  <c r="T78"/>
  <c r="R78"/>
  <c r="S69" i="6"/>
  <c r="Q69"/>
  <c r="T69"/>
  <c r="R69"/>
  <c r="P70"/>
  <c r="P80" i="9" l="1"/>
  <c r="Q79"/>
  <c r="R79"/>
  <c r="S79"/>
  <c r="T79"/>
  <c r="S70" i="6"/>
  <c r="R70"/>
  <c r="Q70"/>
  <c r="T70"/>
  <c r="P71"/>
  <c r="P81" i="9" l="1"/>
  <c r="R80"/>
  <c r="S80"/>
  <c r="Q80"/>
  <c r="T80"/>
  <c r="T71" i="6"/>
  <c r="R71"/>
  <c r="S71"/>
  <c r="Q71"/>
  <c r="P72"/>
  <c r="P82" i="9" l="1"/>
  <c r="Q81"/>
  <c r="S81"/>
  <c r="T81"/>
  <c r="R81"/>
  <c r="Q72" i="6"/>
  <c r="T72"/>
  <c r="R72"/>
  <c r="S72"/>
  <c r="P73"/>
  <c r="P83" i="9" l="1"/>
  <c r="S82"/>
  <c r="Q82"/>
  <c r="T82"/>
  <c r="R82"/>
  <c r="S73" i="6"/>
  <c r="Q73"/>
  <c r="T73"/>
  <c r="R73"/>
  <c r="P74"/>
  <c r="P84" i="9" l="1"/>
  <c r="Q83"/>
  <c r="R83"/>
  <c r="S83"/>
  <c r="T83"/>
  <c r="S74" i="6"/>
  <c r="Q74"/>
  <c r="T74"/>
  <c r="R74"/>
  <c r="P75"/>
  <c r="P85" i="9" l="1"/>
  <c r="R84"/>
  <c r="S84"/>
  <c r="Q84"/>
  <c r="T84"/>
  <c r="T75" i="6"/>
  <c r="R75"/>
  <c r="Q75"/>
  <c r="S75"/>
  <c r="P76"/>
  <c r="P86" i="9" l="1"/>
  <c r="Q85"/>
  <c r="R85"/>
  <c r="S85"/>
  <c r="T85"/>
  <c r="Q76" i="6"/>
  <c r="T76"/>
  <c r="R76"/>
  <c r="S76"/>
  <c r="P77"/>
  <c r="P87" i="9" l="1"/>
  <c r="Q86"/>
  <c r="T86"/>
  <c r="R86"/>
  <c r="S86"/>
  <c r="S77" i="6"/>
  <c r="Q77"/>
  <c r="T77"/>
  <c r="R77"/>
  <c r="P78"/>
  <c r="P88" i="9" l="1"/>
  <c r="T87"/>
  <c r="R87"/>
  <c r="Q87"/>
  <c r="S87"/>
  <c r="S78" i="6"/>
  <c r="Q78"/>
  <c r="R78"/>
  <c r="T78"/>
  <c r="P79"/>
  <c r="P89" i="9" l="1"/>
  <c r="R88"/>
  <c r="S88"/>
  <c r="Q88"/>
  <c r="T88"/>
  <c r="T79" i="6"/>
  <c r="R79"/>
  <c r="S79"/>
  <c r="Q79"/>
  <c r="P80"/>
  <c r="P90" i="9" l="1"/>
  <c r="Q89"/>
  <c r="R89"/>
  <c r="S89"/>
  <c r="T89"/>
  <c r="Q80" i="6"/>
  <c r="T80"/>
  <c r="R80"/>
  <c r="S80"/>
  <c r="P81"/>
  <c r="P91" i="9" l="1"/>
  <c r="Q90"/>
  <c r="T90"/>
  <c r="R90"/>
  <c r="S90"/>
  <c r="S81" i="6"/>
  <c r="Q81"/>
  <c r="T81"/>
  <c r="R81"/>
  <c r="P82"/>
  <c r="P92" i="9" l="1"/>
  <c r="T91"/>
  <c r="Q91"/>
  <c r="R91"/>
  <c r="S91"/>
  <c r="S82" i="6"/>
  <c r="R82"/>
  <c r="Q82"/>
  <c r="T82"/>
  <c r="P83"/>
  <c r="P93" i="9" l="1"/>
  <c r="R92"/>
  <c r="S92"/>
  <c r="Q92"/>
  <c r="T92"/>
  <c r="T83" i="6"/>
  <c r="R83"/>
  <c r="Q83"/>
  <c r="S83"/>
  <c r="P84"/>
  <c r="P94" i="9" l="1"/>
  <c r="Q93"/>
  <c r="R93"/>
  <c r="S93"/>
  <c r="T93"/>
  <c r="Q84" i="6"/>
  <c r="T84"/>
  <c r="R84"/>
  <c r="S84"/>
  <c r="P85"/>
  <c r="P95" i="9" l="1"/>
  <c r="S94"/>
  <c r="Q94"/>
  <c r="T94"/>
  <c r="R94"/>
  <c r="S85" i="6"/>
  <c r="Q85"/>
  <c r="T85"/>
  <c r="R85"/>
  <c r="P86"/>
  <c r="P96" i="9" l="1"/>
  <c r="T95"/>
  <c r="Q95"/>
  <c r="R95"/>
  <c r="S95"/>
  <c r="S86" i="6"/>
  <c r="Q86"/>
  <c r="R86"/>
  <c r="T86"/>
  <c r="P87"/>
  <c r="P97" i="9" l="1"/>
  <c r="R96"/>
  <c r="S96"/>
  <c r="Q96"/>
  <c r="T96"/>
  <c r="T87" i="6"/>
  <c r="R87"/>
  <c r="S87"/>
  <c r="Q87"/>
  <c r="P88"/>
  <c r="P98" i="9" l="1"/>
  <c r="Q97"/>
  <c r="R97"/>
  <c r="S97"/>
  <c r="T97"/>
  <c r="Q88" i="6"/>
  <c r="T88"/>
  <c r="R88"/>
  <c r="S88"/>
  <c r="P89"/>
  <c r="P99" i="9" l="1"/>
  <c r="S98"/>
  <c r="Q98"/>
  <c r="T98"/>
  <c r="R98"/>
  <c r="S89" i="6"/>
  <c r="Q89"/>
  <c r="T89"/>
  <c r="R89"/>
  <c r="P90"/>
  <c r="P100" i="9" l="1"/>
  <c r="T99"/>
  <c r="Q99"/>
  <c r="R99"/>
  <c r="S99"/>
  <c r="S90" i="6"/>
  <c r="Q90"/>
  <c r="R90"/>
  <c r="T90"/>
  <c r="P91"/>
  <c r="P101" i="9" l="1"/>
  <c r="R100"/>
  <c r="S100"/>
  <c r="Q100"/>
  <c r="T100"/>
  <c r="T91" i="6"/>
  <c r="R91"/>
  <c r="S91"/>
  <c r="Q91"/>
  <c r="P92"/>
  <c r="P102" i="9" l="1"/>
  <c r="Q101"/>
  <c r="R101"/>
  <c r="S101"/>
  <c r="T101"/>
  <c r="Q92" i="6"/>
  <c r="T92"/>
  <c r="R92"/>
  <c r="S92"/>
  <c r="P93"/>
  <c r="P103" i="9" l="1"/>
  <c r="S102"/>
  <c r="Q102"/>
  <c r="T102"/>
  <c r="R102"/>
  <c r="S93" i="6"/>
  <c r="Q93"/>
  <c r="T93"/>
  <c r="R93"/>
  <c r="P94"/>
  <c r="P104" i="9" l="1"/>
  <c r="T103"/>
  <c r="Q103"/>
  <c r="R103"/>
  <c r="S103"/>
  <c r="S94" i="6"/>
  <c r="R94"/>
  <c r="Q94"/>
  <c r="T94"/>
  <c r="P95"/>
  <c r="P105" i="9" l="1"/>
  <c r="R104"/>
  <c r="S104"/>
  <c r="Q104"/>
  <c r="T104"/>
  <c r="T95" i="6"/>
  <c r="R95"/>
  <c r="S95"/>
  <c r="Q95"/>
  <c r="P96"/>
  <c r="P106" i="9" l="1"/>
  <c r="Q105"/>
  <c r="R105"/>
  <c r="S105"/>
  <c r="T105"/>
  <c r="Q96" i="6"/>
  <c r="T96"/>
  <c r="R96"/>
  <c r="S96"/>
  <c r="P97"/>
  <c r="P107" i="9" l="1"/>
  <c r="S106"/>
  <c r="Q106"/>
  <c r="T106"/>
  <c r="R106"/>
  <c r="S97" i="6"/>
  <c r="Q97"/>
  <c r="T97"/>
  <c r="R97"/>
  <c r="P98"/>
  <c r="P108" i="9" l="1"/>
  <c r="T107"/>
  <c r="Q107"/>
  <c r="R107"/>
  <c r="S107"/>
  <c r="S98" i="6"/>
  <c r="Q98"/>
  <c r="R98"/>
  <c r="T98"/>
  <c r="P99"/>
  <c r="P109" i="9" l="1"/>
  <c r="R108"/>
  <c r="S108"/>
  <c r="Q108"/>
  <c r="T108"/>
  <c r="T99" i="6"/>
  <c r="R99"/>
  <c r="Q99"/>
  <c r="S99"/>
  <c r="P100"/>
  <c r="P110" i="9" l="1"/>
  <c r="Q109"/>
  <c r="R109"/>
  <c r="S109"/>
  <c r="T109"/>
  <c r="Q100" i="6"/>
  <c r="T100"/>
  <c r="R100"/>
  <c r="S100"/>
  <c r="P101"/>
  <c r="P111" i="9" l="1"/>
  <c r="S110"/>
  <c r="Q110"/>
  <c r="T110"/>
  <c r="R110"/>
  <c r="S101" i="6"/>
  <c r="Q101"/>
  <c r="T101"/>
  <c r="R101"/>
  <c r="P102"/>
  <c r="P112" i="9" l="1"/>
  <c r="T111"/>
  <c r="Q111"/>
  <c r="R111"/>
  <c r="S111"/>
  <c r="S102" i="6"/>
  <c r="R102"/>
  <c r="Q102"/>
  <c r="T102"/>
  <c r="P103"/>
  <c r="P113" i="9" l="1"/>
  <c r="R112"/>
  <c r="S112"/>
  <c r="Q112"/>
  <c r="T112"/>
  <c r="T103" i="6"/>
  <c r="R103"/>
  <c r="S103"/>
  <c r="Q103"/>
  <c r="P104"/>
  <c r="P114" i="9" l="1"/>
  <c r="Q113"/>
  <c r="R113"/>
  <c r="S113"/>
  <c r="T113"/>
  <c r="Q104" i="6"/>
  <c r="T104"/>
  <c r="R104"/>
  <c r="S104"/>
  <c r="P105"/>
  <c r="P115" i="9" l="1"/>
  <c r="S114"/>
  <c r="Q114"/>
  <c r="T114"/>
  <c r="R114"/>
  <c r="S105" i="6"/>
  <c r="Q105"/>
  <c r="T105"/>
  <c r="R105"/>
  <c r="P106"/>
  <c r="P116" i="9" l="1"/>
  <c r="T115"/>
  <c r="Q115"/>
  <c r="R115"/>
  <c r="S115"/>
  <c r="S106" i="6"/>
  <c r="Q106"/>
  <c r="T106"/>
  <c r="R106"/>
  <c r="P107"/>
  <c r="P117" i="9" l="1"/>
  <c r="R116"/>
  <c r="S116"/>
  <c r="Q116"/>
  <c r="T116"/>
  <c r="T107" i="6"/>
  <c r="R107"/>
  <c r="Q107"/>
  <c r="S107"/>
  <c r="P108"/>
  <c r="P118" i="9" l="1"/>
  <c r="Q117"/>
  <c r="R117"/>
  <c r="S117"/>
  <c r="T117"/>
  <c r="Q108" i="6"/>
  <c r="T108"/>
  <c r="R108"/>
  <c r="S108"/>
  <c r="P109"/>
  <c r="P119" i="9" l="1"/>
  <c r="S118"/>
  <c r="Q118"/>
  <c r="T118"/>
  <c r="R118"/>
  <c r="S109" i="6"/>
  <c r="Q109"/>
  <c r="T109"/>
  <c r="R109"/>
  <c r="P110"/>
  <c r="P120" i="9" l="1"/>
  <c r="T119"/>
  <c r="Q119"/>
  <c r="R119"/>
  <c r="S119"/>
  <c r="S110" i="6"/>
  <c r="Q110"/>
  <c r="R110"/>
  <c r="T110"/>
  <c r="P111"/>
  <c r="P121" i="9" l="1"/>
  <c r="R120"/>
  <c r="S120"/>
  <c r="Q120"/>
  <c r="T120"/>
  <c r="T111" i="6"/>
  <c r="R111"/>
  <c r="S111"/>
  <c r="Q111"/>
  <c r="P112"/>
  <c r="P122" i="9" l="1"/>
  <c r="Q121"/>
  <c r="R121"/>
  <c r="S121"/>
  <c r="T121"/>
  <c r="Q112" i="6"/>
  <c r="T112"/>
  <c r="R112"/>
  <c r="S112"/>
  <c r="P113"/>
  <c r="P123" i="9" l="1"/>
  <c r="S122"/>
  <c r="Q122"/>
  <c r="T122"/>
  <c r="R122"/>
  <c r="S113" i="6"/>
  <c r="Q113"/>
  <c r="T113"/>
  <c r="R113"/>
  <c r="P114"/>
  <c r="P124" i="9" l="1"/>
  <c r="T123"/>
  <c r="Q123"/>
  <c r="R123"/>
  <c r="S123"/>
  <c r="S114" i="6"/>
  <c r="R114"/>
  <c r="Q114"/>
  <c r="T114"/>
  <c r="P115"/>
  <c r="P125" i="9" l="1"/>
  <c r="R124"/>
  <c r="S124"/>
  <c r="Q124"/>
  <c r="T124"/>
  <c r="T115" i="6"/>
  <c r="R115"/>
  <c r="Q115"/>
  <c r="S115"/>
  <c r="P126" i="9" l="1"/>
  <c r="Q125"/>
  <c r="R125"/>
  <c r="S125"/>
  <c r="T125"/>
  <c r="P127" l="1"/>
  <c r="S126"/>
  <c r="Q126"/>
  <c r="T126"/>
  <c r="R126"/>
  <c r="P128" l="1"/>
  <c r="T127"/>
  <c r="Q127"/>
  <c r="R127"/>
  <c r="S127"/>
  <c r="P129" l="1"/>
  <c r="R128"/>
  <c r="S128"/>
  <c r="Q128"/>
  <c r="T128"/>
  <c r="P130" l="1"/>
  <c r="Q129"/>
  <c r="R129"/>
  <c r="S129"/>
  <c r="T129"/>
  <c r="P131" l="1"/>
  <c r="S130"/>
  <c r="Q130"/>
  <c r="T130"/>
  <c r="R130"/>
  <c r="P132" l="1"/>
  <c r="T131"/>
  <c r="Q131"/>
  <c r="R131"/>
  <c r="S131"/>
  <c r="P133" l="1"/>
  <c r="R132"/>
  <c r="S132"/>
  <c r="Q132"/>
  <c r="T132"/>
  <c r="P134" l="1"/>
  <c r="Q133"/>
  <c r="R133"/>
  <c r="S133"/>
  <c r="T133"/>
  <c r="P135" l="1"/>
  <c r="S134"/>
  <c r="Q134"/>
  <c r="T134"/>
  <c r="R134"/>
  <c r="P136" l="1"/>
  <c r="T135"/>
  <c r="Q135"/>
  <c r="R135"/>
  <c r="S135"/>
  <c r="P137" l="1"/>
  <c r="R136"/>
  <c r="S136"/>
  <c r="Q136"/>
  <c r="T136"/>
  <c r="P138" l="1"/>
  <c r="Q137"/>
  <c r="R137"/>
  <c r="S137"/>
  <c r="T137"/>
  <c r="P139" l="1"/>
  <c r="S138"/>
  <c r="Q138"/>
  <c r="T138"/>
  <c r="R138"/>
  <c r="P140" l="1"/>
  <c r="T139"/>
  <c r="Q139"/>
  <c r="R139"/>
  <c r="S139"/>
  <c r="P141" l="1"/>
  <c r="R140"/>
  <c r="S140"/>
  <c r="Q140"/>
  <c r="T140"/>
  <c r="P142" l="1"/>
  <c r="Q141"/>
  <c r="R141"/>
  <c r="S141"/>
  <c r="T141"/>
  <c r="P143" l="1"/>
  <c r="S142"/>
  <c r="Q142"/>
  <c r="T142"/>
  <c r="R142"/>
  <c r="P144" l="1"/>
  <c r="T143"/>
  <c r="Q143"/>
  <c r="R143"/>
  <c r="S143"/>
  <c r="P145" l="1"/>
  <c r="R144"/>
  <c r="S144"/>
  <c r="Q144"/>
  <c r="T144"/>
  <c r="Q145" l="1"/>
  <c r="R145"/>
  <c r="S145"/>
  <c r="T145"/>
  <c r="AN34" i="12" l="1"/>
  <c r="AN6" s="1"/>
  <c r="AF31" l="1"/>
  <c r="AH31" s="1"/>
  <c r="AG6" l="1"/>
  <c r="AD6"/>
  <c r="AE36" i="18" s="1"/>
  <c r="AH36" l="1"/>
  <c r="AM36"/>
  <c r="AD58" s="1"/>
</calcChain>
</file>

<file path=xl/sharedStrings.xml><?xml version="1.0" encoding="utf-8"?>
<sst xmlns="http://schemas.openxmlformats.org/spreadsheetml/2006/main" count="647" uniqueCount="303">
  <si>
    <t>City/Town:</t>
  </si>
  <si>
    <t>County:</t>
  </si>
  <si>
    <t>Division:</t>
  </si>
  <si>
    <t>Date Analysis Performed:</t>
  </si>
  <si>
    <t>Y</t>
  </si>
  <si>
    <t>Major</t>
  </si>
  <si>
    <t>Minor</t>
  </si>
  <si>
    <t>W-1a</t>
  </si>
  <si>
    <t>W-1b</t>
  </si>
  <si>
    <t>Major Lanes</t>
  </si>
  <si>
    <t>Minor Lanes</t>
  </si>
  <si>
    <t>Table W-1a</t>
  </si>
  <si>
    <t>Table W-1b</t>
  </si>
  <si>
    <t>Full Warrant</t>
  </si>
  <si>
    <t>80% Warrant</t>
  </si>
  <si>
    <t>TRAFFIC SIGNAL WARRANT SUMMARY</t>
  </si>
  <si>
    <t>Analysis Performed By:</t>
  </si>
  <si>
    <t>Project Number if Applicable:</t>
  </si>
  <si>
    <t>Data Date:</t>
  </si>
  <si>
    <t>Weather Conditions:</t>
  </si>
  <si>
    <t>Appr. Lanes:</t>
  </si>
  <si>
    <t>Critical Approach Speed (mph):</t>
  </si>
  <si>
    <t>Major Route:</t>
  </si>
  <si>
    <t>Minor Route:</t>
  </si>
  <si>
    <t>Volume Level Criteria</t>
  </si>
  <si>
    <t>1.  Is the critical speed of major street traffic &gt; 70 km/h (40 mph) ?</t>
  </si>
  <si>
    <t>X</t>
  </si>
  <si>
    <t>Yes</t>
  </si>
  <si>
    <t>No</t>
  </si>
  <si>
    <t>2.  Is the intersection in a built-up area or isolated community of &lt;10,000 population?</t>
  </si>
  <si>
    <t>If Question 1 or 2 above is answered "Yes", then use "70%" volume level</t>
  </si>
  <si>
    <t>70%</t>
  </si>
  <si>
    <t>100%</t>
  </si>
  <si>
    <t>70/100</t>
  </si>
  <si>
    <t>Meets</t>
  </si>
  <si>
    <t>WARRANT 1 - EIGHT-HOUR VEHICULAR VOLUME</t>
  </si>
  <si>
    <t>Warrant 1 is satisfied if Condition A or Condition B is "100%" satisfied.</t>
  </si>
  <si>
    <t>Satisfied:</t>
  </si>
  <si>
    <t>Adequate trial(s) of other remedial measures tried:</t>
  </si>
  <si>
    <t>100% Satisfied:</t>
  </si>
  <si>
    <t>(Used if neither Condition A or B is satisfied) 80% Satisfied:</t>
  </si>
  <si>
    <t>Eight Highest Hours</t>
  </si>
  <si>
    <t>Minimum Requirements</t>
  </si>
  <si>
    <t>(volumes in veh/hr)</t>
  </si>
  <si>
    <t>Approach Lanes</t>
  </si>
  <si>
    <t>2 or more</t>
  </si>
  <si>
    <t>Volume Level</t>
  </si>
  <si>
    <t>Both Approaches</t>
  </si>
  <si>
    <t>on Major Street</t>
  </si>
  <si>
    <t xml:space="preserve">Highest Approach </t>
  </si>
  <si>
    <t>on Minor Street</t>
  </si>
  <si>
    <t>Warrant is also satisfied if both Condition A and Condition B are "80%" satisfied, given adequate trials of other remedial measures have been tried.</t>
  </si>
  <si>
    <t>W - 1A 100%</t>
  </si>
  <si>
    <t>W - 1B 100%</t>
  </si>
  <si>
    <t>W - 1A 80%</t>
  </si>
  <si>
    <t>W - 1B 80%</t>
  </si>
  <si>
    <t>WARRANT 2 - FOUR-HOUR VEHICULAR VOLUME</t>
  </si>
  <si>
    <t>If all four points lie above the appropriate line, then this warrant is satisfied.</t>
  </si>
  <si>
    <t>Four Highest Hours</t>
  </si>
  <si>
    <t>(Volumes in veh/hr)</t>
  </si>
  <si>
    <t xml:space="preserve">SUM of Both Approaches on Major Street  </t>
  </si>
  <si>
    <t xml:space="preserve">Highest Minor Street Approach  </t>
  </si>
  <si>
    <t>Warrant #2 Constants for Formula of the Graph</t>
  </si>
  <si>
    <t>Four Hour - 1 Lane &amp; 1 Lane</t>
  </si>
  <si>
    <t>Four Hour - 2 Lanes &amp; 1 Lane</t>
  </si>
  <si>
    <t>Four Hour - 2 Lanes &amp; 2 Lanes</t>
  </si>
  <si>
    <t xml:space="preserve"> </t>
  </si>
  <si>
    <t>Speed over 40 mph or Pop &gt; 10,000</t>
  </si>
  <si>
    <t>Required</t>
  </si>
  <si>
    <t xml:space="preserve">Major </t>
  </si>
  <si>
    <t>2 or More</t>
  </si>
  <si>
    <t>1 Lane</t>
  </si>
  <si>
    <t>Y1</t>
  </si>
  <si>
    <t>Y2</t>
  </si>
  <si>
    <t>Y3</t>
  </si>
  <si>
    <t>Y4</t>
  </si>
  <si>
    <t>4C-1, Warrant 2, Four-Hour Vehicular Volume (100%)</t>
  </si>
  <si>
    <t>Labels</t>
  </si>
  <si>
    <t>FIGURE W-2:  Criteria for "70%" Volume Level</t>
  </si>
  <si>
    <t>FIGURE W-2:  Criteria for "100%" Volume Level</t>
  </si>
  <si>
    <t>(Community less-than 10,000 population or speeds greater-than 70 km/hr [40 mph] on Major Street)</t>
  </si>
  <si>
    <t>* Note:</t>
  </si>
  <si>
    <t>DATA</t>
  </si>
  <si>
    <t>Max.</t>
  </si>
  <si>
    <t>CHART</t>
  </si>
  <si>
    <t>Min.</t>
  </si>
  <si>
    <t>4C-2, Warrant 2, Four-Hour Vehicular Volume (70%)</t>
  </si>
  <si>
    <t>X Axis</t>
  </si>
  <si>
    <t>Label</t>
  </si>
  <si>
    <t>Spacing</t>
  </si>
  <si>
    <t>FIGURE W-3:  Criteria for "70%" Volume Level</t>
  </si>
  <si>
    <t>FIGURE W-3:  Criteria for "100%" Volume Level</t>
  </si>
  <si>
    <t>WARRANT 3 - PEAK HOUR VEHICULAR VOLUME</t>
  </si>
  <si>
    <t>Applicable:</t>
  </si>
  <si>
    <t>Hour</t>
  </si>
  <si>
    <t>Route</t>
  </si>
  <si>
    <t>Warrant #3 Constants for Formula of the Graph</t>
  </si>
  <si>
    <t>Peak Hour - 1 Lane &amp; 1 Lane</t>
  </si>
  <si>
    <t>Peak Hour - 2 Lanes &amp; 1 Lane</t>
  </si>
  <si>
    <t>Peak Hour - 2 Lanes &amp; 2 Lanes</t>
  </si>
  <si>
    <t>4C-3, Warrant 2, Peak Hour Vehicular Volume (100%)</t>
  </si>
  <si>
    <t>4C-4, Warrant 3, Peak Hour Vehicular Volume (70%)</t>
  </si>
  <si>
    <t>Unusual case(s) justifying this Warrant:</t>
  </si>
  <si>
    <t>3. Total Entering Volume (veh/hr)</t>
  </si>
  <si>
    <t>Number of Approaches</t>
  </si>
  <si>
    <t xml:space="preserve">  3</t>
  </si>
  <si>
    <t xml:space="preserve">  4 or more</t>
  </si>
  <si>
    <t>No. of Approaches</t>
  </si>
  <si>
    <t>Volume Criteria</t>
  </si>
  <si>
    <t>Volume :</t>
  </si>
  <si>
    <t>C-1</t>
  </si>
  <si>
    <t>C-2</t>
  </si>
  <si>
    <t>C-3</t>
  </si>
  <si>
    <t>150 vph applies as the lower threshold volume for a minor route approach with two or more lanes and</t>
  </si>
  <si>
    <t xml:space="preserve">100 vph applies as the lower threshold volume for a minor route approach with two or more lanes and </t>
  </si>
  <si>
    <t>75 vph applies as the lower threshold volume threshold for a minor route approach with one lane.</t>
  </si>
  <si>
    <t>100 vph applies as the lower threshold volume threshold for a minor route approach with one lane.</t>
  </si>
  <si>
    <t>115 vph applies as the lower threshold volume for a minor route approach with two or more lanes and</t>
  </si>
  <si>
    <t>80 vph applies as the lower threshold volume threshold for a minor route approach with one lane.</t>
  </si>
  <si>
    <t xml:space="preserve">80 vph applies as the lower threshold volume for a minor route approach with two or more lanes and </t>
  </si>
  <si>
    <t>60 vph applies as the lower threshold volume threshold for a minor route approach with one lane.</t>
  </si>
  <si>
    <t xml:space="preserve">Fullfilled?  </t>
  </si>
  <si>
    <t xml:space="preserve"> NO</t>
  </si>
  <si>
    <t xml:space="preserve"> Yes</t>
  </si>
  <si>
    <t>Approaches Lanes</t>
  </si>
  <si>
    <t>2.  Volume on Minor Approach (veh/hr)</t>
  </si>
  <si>
    <t>1.  Delay on Minor Approach (vehicle-hours)</t>
  </si>
  <si>
    <t>DELAY CRITERIA</t>
  </si>
  <si>
    <t>WARRANT 4 - PEDESTRIAN VOLUME</t>
  </si>
  <si>
    <t>Four Hour</t>
  </si>
  <si>
    <t>Peak Hour</t>
  </si>
  <si>
    <t>X = 400 - 1000</t>
  </si>
  <si>
    <t>X = 1000 - 1100</t>
  </si>
  <si>
    <t>Y = -0.18*X + 305</t>
  </si>
  <si>
    <t>X = 270 - 771.5</t>
  </si>
  <si>
    <t>X = 400 - 1465</t>
  </si>
  <si>
    <t>X = 665 - 900</t>
  </si>
  <si>
    <t>X = 900 - 1046</t>
  </si>
  <si>
    <t>X = 250 - 665</t>
  </si>
  <si>
    <t>Veh/Hr</t>
  </si>
  <si>
    <t>Pedestrians</t>
  </si>
  <si>
    <t>4-Hour</t>
  </si>
  <si>
    <t>Peak-Hour</t>
  </si>
  <si>
    <t>4C-5/7:  Pedestrian (100%)</t>
  </si>
  <si>
    <t>4C-6/8:  Pedestrian (70%)</t>
  </si>
  <si>
    <t>Fulfilled?</t>
  </si>
  <si>
    <t xml:space="preserve">The nearest traffic control device (signal or STOP sign) controlling traffic on the major route is more than 90m (300 ft) away: </t>
  </si>
  <si>
    <t>If no above, will this proposed signal restrict the progrssive movement of traffic?</t>
  </si>
  <si>
    <t>Pedestrian Signal Location Criteria</t>
  </si>
  <si>
    <t>Vehicle volumes in veh/hr and Pedestrian volumnes in ped/hr</t>
  </si>
  <si>
    <t xml:space="preserve">SUM of Both Approaches on Major Route  </t>
  </si>
  <si>
    <t xml:space="preserve">Pedestrians crossing the Major Route  </t>
  </si>
  <si>
    <t>Four Greatest Hours</t>
  </si>
  <si>
    <t>Condition A - Minimum Vehicular Volume &amp; Condition B - Interruption of Continuous Traffic</t>
  </si>
  <si>
    <t>WARRANT 5 - SCHOOL CROSSING</t>
  </si>
  <si>
    <r>
      <t xml:space="preserve">Any remedial measures implemented in or around the intersection to improve the safety of the students as noted in Section </t>
    </r>
    <r>
      <rPr>
        <b/>
        <sz val="9"/>
        <color theme="1"/>
        <rFont val="Arial"/>
        <family val="2"/>
      </rPr>
      <t>4C.06</t>
    </r>
    <r>
      <rPr>
        <sz val="9"/>
        <color theme="1"/>
        <rFont val="Arial"/>
        <family val="2"/>
      </rPr>
      <t xml:space="preserve">  </t>
    </r>
    <r>
      <rPr>
        <b/>
        <u/>
        <sz val="9"/>
        <color theme="1"/>
        <rFont val="Arial"/>
        <family val="2"/>
      </rPr>
      <t>Warrant 5, School Crossing</t>
    </r>
    <r>
      <rPr>
        <sz val="9"/>
        <color theme="1"/>
        <rFont val="Arial"/>
        <family val="2"/>
      </rPr>
      <t xml:space="preserve"> in the MUTCD:</t>
    </r>
  </si>
  <si>
    <t>1.</t>
  </si>
  <si>
    <t>2.</t>
  </si>
  <si>
    <t>3.</t>
  </si>
  <si>
    <t>WARRANT 6 - COORDINATED SIGNAL SYSTEM</t>
  </si>
  <si>
    <t>-</t>
  </si>
  <si>
    <t>Progressive movement in a coordinated signal system sometimes necessitates the installtion of traffic control signals at intersections that would not otherwise be considered in order to maintain proper paltooning of vehicles.  This warrant is satisfied if the below criteria is satified as follows:  criteria 1 is satisfied and either criteria 2 or 3 is satisfied.</t>
  </si>
  <si>
    <t>Criteria</t>
  </si>
  <si>
    <t>Gaps</t>
  </si>
  <si>
    <t>Minutes</t>
  </si>
  <si>
    <t>AM</t>
  </si>
  <si>
    <t>PM</t>
  </si>
  <si>
    <t>WARRANT 7 - CRASH EXPERIENCE</t>
  </si>
  <si>
    <t>Met?</t>
  </si>
  <si>
    <t>If Warrant 1A or Warrant 1B are 80 percent satisfied of the current values or if Warrant 4, 4-hour or peak, is met at the 80 percent values.</t>
  </si>
  <si>
    <t>Warrant 4, Four-Hour Volume (80 percent satisfied):</t>
  </si>
  <si>
    <t>Warrant 4, Peak Hour Volume (80 percent satisfied):</t>
  </si>
  <si>
    <t>Warrant 1, Condition A, Minimum Vehicular Volume (80 percent satisfied):</t>
  </si>
  <si>
    <t>Warrant 1, Condition B, Interruption of Continuous Traffic (80 percent satisfied):</t>
  </si>
  <si>
    <t>80%</t>
  </si>
  <si>
    <t>WARRANT 8 - ROADWAY NETWORK</t>
  </si>
  <si>
    <t>This warrant is used to encourage the concentration and organization of traffic flow on a roadway network.  This warrant is satisfied if one of the following 2 criteria is met and both routes meet at least on of the characteristics of a Major Route below.</t>
  </si>
  <si>
    <t>a.</t>
  </si>
  <si>
    <t>b.</t>
  </si>
  <si>
    <r>
      <rPr>
        <b/>
        <sz val="9"/>
        <color theme="1"/>
        <rFont val="Calibri"/>
        <family val="2"/>
      </rPr>
      <t>←</t>
    </r>
    <r>
      <rPr>
        <b/>
        <sz val="9"/>
        <color theme="1"/>
        <rFont val="Arial"/>
        <family val="2"/>
      </rPr>
      <t xml:space="preserve"> Hour</t>
    </r>
  </si>
  <si>
    <r>
      <rPr>
        <b/>
        <sz val="9"/>
        <color theme="1"/>
        <rFont val="Calibri"/>
        <family val="2"/>
      </rPr>
      <t>←</t>
    </r>
    <r>
      <rPr>
        <b/>
        <sz val="9"/>
        <color theme="1"/>
        <rFont val="Arial"/>
        <family val="2"/>
      </rPr>
      <t xml:space="preserve"> Volume</t>
    </r>
  </si>
  <si>
    <t>*  Supporting data required for verification of the projected 5 year traffic Warrants.</t>
  </si>
  <si>
    <t>Characteristics of Major Routes</t>
  </si>
  <si>
    <t>Major Route</t>
  </si>
  <si>
    <t>* Minor Route</t>
  </si>
  <si>
    <t>Does it include rural or suburban highways outside, entering, or traversing a city?</t>
  </si>
  <si>
    <t>*  This is a minor route, but for the purposes of this Warrant, shall be considered as the other major route.</t>
  </si>
  <si>
    <t>WARRANT 9 - INTERSECTION NEAR A GRADE CROSSING</t>
  </si>
  <si>
    <t>W 9 - 1 Approach Lane</t>
  </si>
  <si>
    <t>D Curves</t>
  </si>
  <si>
    <t xml:space="preserve">Data Curve = </t>
  </si>
  <si>
    <t>Y-Val</t>
  </si>
  <si>
    <t>Min Val</t>
  </si>
  <si>
    <t>Actual</t>
  </si>
  <si>
    <t>D Cuve values</t>
  </si>
  <si>
    <t>MEETS</t>
  </si>
  <si>
    <t>W 9 - 2+ Approach Lane</t>
  </si>
  <si>
    <t>(One Approach Lane at the Track Crossing)</t>
  </si>
  <si>
    <t>(Two or More Approach Lanes at the Track Crossing)</t>
  </si>
  <si>
    <t>FIGURE W-9:  Intersection Near a Grade Crossing</t>
  </si>
  <si>
    <t>ADJ1</t>
  </si>
  <si>
    <t>ADJ2</t>
  </si>
  <si>
    <t>Rail Traffic Adj.</t>
  </si>
  <si>
    <t>H-O Bus Adj.</t>
  </si>
  <si>
    <t>ADJ3</t>
  </si>
  <si>
    <t>Tot. Adj.</t>
  </si>
  <si>
    <t>D&lt;70</t>
  </si>
  <si>
    <t>D&gt;=70</t>
  </si>
  <si>
    <t>Tractor-Trailer Adj.</t>
  </si>
  <si>
    <r>
      <rPr>
        <b/>
        <i/>
        <sz val="8"/>
        <color theme="1"/>
        <rFont val="Arial"/>
        <family val="2"/>
      </rPr>
      <t>*</t>
    </r>
    <r>
      <rPr>
        <i/>
        <sz val="8"/>
        <color theme="1"/>
        <rFont val="Arial"/>
        <family val="2"/>
      </rPr>
      <t xml:space="preserve">  VPH after applying the adjustment factors for Rail, Bus, and Tractor-Trailer traffic</t>
    </r>
  </si>
  <si>
    <t xml:space="preserve">Satisfied:  </t>
  </si>
  <si>
    <t>Applicable</t>
  </si>
  <si>
    <t>Warrant #1 info</t>
  </si>
  <si>
    <t>100% Volume Level</t>
  </si>
  <si>
    <t>70% Volume Level</t>
  </si>
  <si>
    <t>2m/2</t>
  </si>
  <si>
    <t>1m/2</t>
  </si>
  <si>
    <t>2m/1</t>
  </si>
  <si>
    <t>1m/1</t>
  </si>
  <si>
    <t>Column</t>
  </si>
  <si>
    <t>This signal warrant sahll be applied only in unsual cases, such as office</t>
  </si>
  <si>
    <t>facilities that attract or discharge  large numbers of vehicles over a short time period.</t>
  </si>
  <si>
    <t>complexes, manufacturing plants, industrial complexes, or high-ocupancy vehicle</t>
  </si>
  <si>
    <t>Signalization shall be considered if a point lies above the appropriate line or the Delay criteria is met.</t>
  </si>
  <si>
    <t xml:space="preserve">Approaches Lanes: </t>
  </si>
  <si>
    <t xml:space="preserve">Delay Criteria: </t>
  </si>
  <si>
    <t xml:space="preserve">Delay: </t>
  </si>
  <si>
    <t>FIGURE W-4a:  Criteria for 100% Volume Level, Four-Hour Volumes</t>
  </si>
  <si>
    <t>FIGURE W-4a:  Criteria for 70% Volume Level, Four-Hour Volumes</t>
  </si>
  <si>
    <t>FIGURE W-4b:  Criteria for 100% Volume Level, Peak Hour Volume</t>
  </si>
  <si>
    <t>FIGURE W-4b:  Criteria for 70% Volume Level, Peak Hour Volume</t>
  </si>
  <si>
    <t>75 pph applies as the lower threshold volume for the 70% Volume Level.</t>
  </si>
  <si>
    <t>107 pph applies as the lower threshold volume for the 100% Volume Level.</t>
  </si>
  <si>
    <t>133 pph applies as the lower threshold volume for the 100% Volume Level.</t>
  </si>
  <si>
    <t>93 pph applies as the lower threshold volume for the 70% Volume Level.</t>
  </si>
  <si>
    <t>This warrant is intended for application where the fact that schoolchildren crossing the major route is the principal reason to consider installing a traffic control signal.  For the purposes of this warrant, the word "schoolchildren" includes elementary through high school students.  This warrant is satisfied if all three of the criteria below are fulfilled after remedial measures have been considered.</t>
  </si>
  <si>
    <t>Num. of Students</t>
  </si>
  <si>
    <t>Highest Crossing Hour Period</t>
  </si>
  <si>
    <t>Enter the number of schoolchildren crossing the major route along with the hour this occurs.  The hour can be any 60 minute interval (ex 2:15 PM - 3:15 PM enter 2:15 - 3:15).  Requires a minimum of 20 schoolchildren durning the any hour.</t>
  </si>
  <si>
    <t>Period</t>
  </si>
  <si>
    <t>For both the morning (AM) and afternoon (PM) periods of operation, enter the number of adequate gaps observed for each period and the number of minutes each period lasted.  Requires one period to operate with fewer gaps than the number of minutes in the period.</t>
  </si>
  <si>
    <t>If the signal is within 90m (300 ft) of an existing signalize intersection, will it restrict progressive movement of traffic?</t>
  </si>
  <si>
    <t>Is the nearest traffic signal along the major route more than 90m (300 ft) from this crossing?</t>
  </si>
  <si>
    <t>On a one-way street or a street that has traffic predominantly in one direction, are the adjacent traffic control signals so far apart that they do not provide the necessary degree of vehiclular platooning?</t>
  </si>
  <si>
    <r>
      <t xml:space="preserve">On a two-way street, do adjacent traffic control signals </t>
    </r>
    <r>
      <rPr>
        <b/>
        <i/>
        <u/>
        <sz val="9"/>
        <color theme="1"/>
        <rFont val="Arial"/>
        <family val="2"/>
      </rPr>
      <t>not</t>
    </r>
    <r>
      <rPr>
        <i/>
        <sz val="9"/>
        <color theme="1"/>
        <rFont val="Arial"/>
        <family val="2"/>
      </rPr>
      <t xml:space="preserve"> provide the necessary degree of platooning and will the proposed and adjacent traffic control signals collectively provide a progressive operation?</t>
    </r>
  </si>
  <si>
    <t>This warrant is intended for application where the severity and frequency of crashes are the principal reasons to consider the installation of a traffic control signal.  The need for a traffic control signal shall be considered if an engineering study finds that criteria 1, 2, and 3 are met.</t>
  </si>
  <si>
    <t>Adequate trial of alternatives with satisfactory observance and enforcement has fialed to reduce the crash frequency as shown below:</t>
  </si>
  <si>
    <r>
      <t>How many crashes within the past 12 months?</t>
    </r>
    <r>
      <rPr>
        <i/>
        <sz val="9"/>
        <color theme="1"/>
        <rFont val="Arial"/>
        <family val="2"/>
      </rPr>
      <t xml:space="preserve">  For this criteria to be met, five or more reported crashes, of types suseptible to correction by the installation of a traffic control signal, must have occurred.</t>
    </r>
  </si>
  <si>
    <t>Warrant #7 info</t>
  </si>
  <si>
    <t>Please enter the total existing, or immediately projected, entering traffic volume during the peak hour of a typical weekday.  Requires a minumum of 1,000 vehicles to be met.</t>
  </si>
  <si>
    <t>Volume</t>
  </si>
  <si>
    <t>Both of the criteria to the right are required in order to be met.</t>
  </si>
  <si>
    <r>
      <t xml:space="preserve">Enter the total existing, or immediately projected, entering volume for each of any 5 hours of a non-normal business day. </t>
    </r>
    <r>
      <rPr>
        <b/>
        <i/>
        <sz val="8"/>
        <color theme="1"/>
        <rFont val="Arial"/>
        <family val="2"/>
      </rPr>
      <t xml:space="preserve">(Saturday or Sunday).  </t>
    </r>
    <r>
      <rPr>
        <i/>
        <sz val="8"/>
        <color theme="1"/>
        <rFont val="Arial"/>
        <family val="2"/>
      </rPr>
      <t>1,000 vph for each hour required.</t>
    </r>
  </si>
  <si>
    <r>
      <t xml:space="preserve">Based on an engineering study, does the 5 year projected traffic volumes, for this location, meet one or more of Warrants 1, 2, or 3 during an average weekday? </t>
    </r>
    <r>
      <rPr>
        <b/>
        <i/>
        <sz val="8"/>
        <color theme="1"/>
        <rFont val="Arial"/>
        <family val="2"/>
      </rPr>
      <t>*</t>
    </r>
  </si>
  <si>
    <t>Does it appear as a major route on an official plan, such as a major street plan in an urban area traffic and transportation study?</t>
  </si>
  <si>
    <t>A major route, as used in this signal warrant, shall have at least one of the following characteristics:</t>
  </si>
  <si>
    <t xml:space="preserve">Note: </t>
  </si>
  <si>
    <t>Supporting data shall be required to verify the routes meet one of the characteristics of a major route.</t>
  </si>
  <si>
    <t>(A high-occupancy bus is defined as a bus occupied by at least 20 people)</t>
  </si>
  <si>
    <t>The need for a traffic control signal may be considered if an intersection that is controlled by a STOP or YIELD sign has a rail crossing within 140 feet of the stop/yield line and the highest Equivalent Minor Approach Traffic value lies above the curve represented on the graph below.</t>
  </si>
  <si>
    <t>Peak Hour Data</t>
  </si>
  <si>
    <t>Peak</t>
  </si>
  <si>
    <t xml:space="preserve">The percentage of "High-Occupancy Buses" crossing the track/day: </t>
  </si>
  <si>
    <t>Minor Route Adjustment Factors - Enter the following:</t>
  </si>
  <si>
    <t>The  number of occurrances of rail traffic/day:</t>
  </si>
  <si>
    <t xml:space="preserve">The percentage of Tractor-trailer Trucks crossing the track/day: </t>
  </si>
  <si>
    <t xml:space="preserve">Enter the distance value "D" from the STOP/YIELD bar to the track as shown below: </t>
  </si>
  <si>
    <t>Num Minor Lanes =</t>
  </si>
  <si>
    <t xml:space="preserve">Offset = </t>
  </si>
  <si>
    <t xml:space="preserve">HLOOKUP Value = </t>
  </si>
  <si>
    <t>D Cuve Plot Values</t>
  </si>
  <si>
    <t>D = 30ft</t>
  </si>
  <si>
    <t>D = 50ft</t>
  </si>
  <si>
    <t>D = 70ft</t>
  </si>
  <si>
    <t>D = 90ft</t>
  </si>
  <si>
    <t>D = 110ft</t>
  </si>
  <si>
    <t>D = 130ft</t>
  </si>
  <si>
    <t>25 vph applies as the lower threshold volume</t>
  </si>
  <si>
    <t>Is it a part of the street or highway system that serves as the principal roadway network for through traffic flow?</t>
  </si>
  <si>
    <t>1A - Minimum Vehicular Volume:</t>
  </si>
  <si>
    <t>1B - Interruption of Continuous Traffic:</t>
  </si>
  <si>
    <t>SATISFIED</t>
  </si>
  <si>
    <t>80% Satisfied</t>
  </si>
  <si>
    <t>100% Satisfied</t>
  </si>
  <si>
    <t>Warrant #2:  Four-Hour Vehicular Volume</t>
  </si>
  <si>
    <t>Warrant #1:  Eight-Hour Vehicular Volume</t>
  </si>
  <si>
    <t>Warrant #3:  Peak Hour</t>
  </si>
  <si>
    <t>Warrant #4:  Pedestrian Volume</t>
  </si>
  <si>
    <t>Warrant #5:  School Crossing</t>
  </si>
  <si>
    <t>Warrant #6:  Coordinated Signal System</t>
  </si>
  <si>
    <t>Warrant #7:  Crash Experience</t>
  </si>
  <si>
    <t>Warrant #8:  Roadway Network</t>
  </si>
  <si>
    <t>Warrant #9:  Intersection Near a Grade Crossing</t>
  </si>
  <si>
    <t>TRAFFIC SIGNAL WARRANTS</t>
  </si>
  <si>
    <t>Any Remedial Measures Implemented to improve the Safety of the Students.</t>
  </si>
  <si>
    <t>The Unusual Case(s) that Justifies the use of this Warrant.</t>
  </si>
  <si>
    <t>Any Remedial Measures Tried and their Outcome.</t>
  </si>
  <si>
    <t>Other Alternatives that have failed to reduce crashes.</t>
  </si>
  <si>
    <t>CONCLUSIONS</t>
  </si>
  <si>
    <t xml:space="preserve">Warrants Satisfied: </t>
  </si>
  <si>
    <t xml:space="preserve">Remarks: </t>
  </si>
  <si>
    <t>List Remedial Measures Tried (Required for 80% Combination of A &amp; B)</t>
  </si>
  <si>
    <t>The inclusion of this proposed signal, into the coordinated system, does not result in a signal spacing of less than 305m (1,000 ft)?</t>
  </si>
</sst>
</file>

<file path=xl/styles.xml><?xml version="1.0" encoding="utf-8"?>
<styleSheet xmlns="http://schemas.openxmlformats.org/spreadsheetml/2006/main">
  <numFmts count="11">
    <numFmt numFmtId="164" formatCode="[$-409]h:mm\ AM/PM;@"/>
    <numFmt numFmtId="165" formatCode="h\ AM/PM"/>
    <numFmt numFmtId="166" formatCode="0.000000"/>
    <numFmt numFmtId="167" formatCode="\(000\)"/>
    <numFmt numFmtId="168" formatCode="\(00\)"/>
    <numFmt numFmtId="169" formatCode="0.0000000E+00"/>
    <numFmt numFmtId="170" formatCode="0.0000000"/>
    <numFmt numFmtId="171" formatCode="0.0000"/>
    <numFmt numFmtId="172" formatCode="#,##0.000000"/>
    <numFmt numFmtId="173" formatCode="#,##0.0"/>
    <numFmt numFmtId="174" formatCode="0.0%"/>
  </numFmts>
  <fonts count="93">
    <font>
      <sz val="11"/>
      <color theme="1"/>
      <name val="Calibri"/>
      <family val="2"/>
      <scheme val="minor"/>
    </font>
    <font>
      <sz val="10"/>
      <name val="Arial"/>
      <family val="2"/>
    </font>
    <font>
      <sz val="12"/>
      <name val="Arial"/>
      <family val="2"/>
    </font>
    <font>
      <sz val="10"/>
      <name val="SWISS"/>
    </font>
    <font>
      <sz val="8"/>
      <name val="Arial"/>
      <family val="2"/>
    </font>
    <font>
      <sz val="8"/>
      <name val="Times New Roman"/>
      <family val="1"/>
    </font>
    <font>
      <b/>
      <sz val="11"/>
      <color theme="1"/>
      <name val="Calibri"/>
      <family val="2"/>
      <scheme val="minor"/>
    </font>
    <font>
      <sz val="10"/>
      <name val="Arial"/>
      <family val="2"/>
    </font>
    <font>
      <b/>
      <sz val="14"/>
      <name val="Arial"/>
      <family val="2"/>
    </font>
    <font>
      <sz val="9"/>
      <name val="Arial"/>
      <family val="2"/>
    </font>
    <font>
      <b/>
      <u/>
      <sz val="9"/>
      <name val="Arial"/>
      <family val="2"/>
    </font>
    <font>
      <sz val="10"/>
      <name val="Wingdings"/>
      <charset val="2"/>
    </font>
    <font>
      <b/>
      <u/>
      <sz val="10.5"/>
      <name val="Arial"/>
      <family val="2"/>
    </font>
    <font>
      <i/>
      <sz val="8"/>
      <name val="Arial"/>
      <family val="2"/>
    </font>
    <font>
      <i/>
      <sz val="9"/>
      <name val="Arial"/>
      <family val="2"/>
    </font>
    <font>
      <b/>
      <sz val="9"/>
      <name val="Arial"/>
      <family val="2"/>
    </font>
    <font>
      <b/>
      <sz val="10"/>
      <name val="Arial"/>
      <family val="2"/>
    </font>
    <font>
      <b/>
      <sz val="9"/>
      <name val="SWISS"/>
    </font>
    <font>
      <sz val="9"/>
      <name val="SWISS"/>
    </font>
    <font>
      <i/>
      <u/>
      <sz val="9"/>
      <name val="Arial"/>
      <family val="2"/>
    </font>
    <font>
      <u/>
      <sz val="9"/>
      <name val="Arial"/>
      <family val="2"/>
    </font>
    <font>
      <b/>
      <i/>
      <u/>
      <sz val="12"/>
      <name val="Times New Roman"/>
      <family val="1"/>
    </font>
    <font>
      <i/>
      <u/>
      <sz val="10"/>
      <name val="Times New Roman"/>
      <family val="1"/>
    </font>
    <font>
      <i/>
      <sz val="10"/>
      <name val="Times New Roman"/>
      <family val="1"/>
    </font>
    <font>
      <b/>
      <u/>
      <sz val="10"/>
      <name val="Times New Roman"/>
      <family val="1"/>
    </font>
    <font>
      <b/>
      <i/>
      <sz val="9"/>
      <name val="Arial"/>
      <family val="2"/>
    </font>
    <font>
      <b/>
      <i/>
      <sz val="10"/>
      <name val="Arial"/>
      <family val="2"/>
    </font>
    <font>
      <i/>
      <sz val="10"/>
      <name val="Arial"/>
      <family val="2"/>
    </font>
    <font>
      <b/>
      <i/>
      <sz val="8"/>
      <name val="Arial"/>
      <family val="2"/>
    </font>
    <font>
      <b/>
      <u/>
      <sz val="9"/>
      <color rgb="FF0000FF"/>
      <name val="Arial"/>
      <family val="2"/>
    </font>
    <font>
      <sz val="10"/>
      <color rgb="FFFF0000"/>
      <name val="Arial"/>
      <family val="2"/>
    </font>
    <font>
      <b/>
      <sz val="11"/>
      <color rgb="FFFFC000"/>
      <name val="Calibri"/>
      <family val="2"/>
      <scheme val="minor"/>
    </font>
    <font>
      <b/>
      <sz val="11"/>
      <color rgb="FF92D050"/>
      <name val="Calibri"/>
      <family val="2"/>
      <scheme val="minor"/>
    </font>
    <font>
      <b/>
      <sz val="11"/>
      <color theme="9" tint="-0.249977111117893"/>
      <name val="Calibri"/>
      <family val="2"/>
      <scheme val="minor"/>
    </font>
    <font>
      <b/>
      <sz val="11"/>
      <color rgb="FF00B050"/>
      <name val="Calibri"/>
      <family val="2"/>
      <scheme val="minor"/>
    </font>
    <font>
      <b/>
      <i/>
      <sz val="11"/>
      <color theme="1"/>
      <name val="Calibri"/>
      <family val="2"/>
      <scheme val="minor"/>
    </font>
    <font>
      <b/>
      <i/>
      <sz val="11"/>
      <color rgb="FFFFC000"/>
      <name val="Bodoni MT"/>
      <family val="1"/>
    </font>
    <font>
      <b/>
      <i/>
      <sz val="11"/>
      <color rgb="FF92D050"/>
      <name val="Bodoni MT"/>
      <family val="1"/>
    </font>
    <font>
      <b/>
      <i/>
      <sz val="11"/>
      <color rgb="FF00B050"/>
      <name val="Bodoni MT"/>
      <family val="1"/>
    </font>
    <font>
      <b/>
      <i/>
      <sz val="11"/>
      <color theme="9" tint="-0.249977111117893"/>
      <name val="Bodoni MT"/>
      <family val="1"/>
    </font>
    <font>
      <b/>
      <sz val="11"/>
      <color rgb="FFFF0000"/>
      <name val="Calibri"/>
      <family val="2"/>
      <scheme val="minor"/>
    </font>
    <font>
      <i/>
      <sz val="8"/>
      <color theme="1"/>
      <name val="Arial"/>
      <family val="2"/>
    </font>
    <font>
      <b/>
      <i/>
      <sz val="11"/>
      <color rgb="FFFF0000"/>
      <name val="Book Antiqua"/>
      <family val="1"/>
    </font>
    <font>
      <b/>
      <sz val="11"/>
      <color rgb="FF0070C0"/>
      <name val="Calibri"/>
      <family val="2"/>
      <scheme val="minor"/>
    </font>
    <font>
      <b/>
      <i/>
      <sz val="11"/>
      <color rgb="FF0070C0"/>
      <name val="Book Antiqua"/>
      <family val="1"/>
    </font>
    <font>
      <b/>
      <sz val="11"/>
      <color rgb="FFFF66FF"/>
      <name val="Calibri"/>
      <family val="2"/>
      <scheme val="minor"/>
    </font>
    <font>
      <sz val="7"/>
      <name val="Arial"/>
      <family val="2"/>
    </font>
    <font>
      <i/>
      <sz val="7"/>
      <name val="Arial"/>
      <family val="2"/>
    </font>
    <font>
      <i/>
      <sz val="6.5"/>
      <name val="Arial"/>
      <family val="2"/>
    </font>
    <font>
      <sz val="6.5"/>
      <name val="Arial"/>
      <family val="2"/>
    </font>
    <font>
      <b/>
      <u/>
      <sz val="13"/>
      <color rgb="FF0000FF"/>
      <name val="Arial"/>
      <family val="2"/>
    </font>
    <font>
      <sz val="10"/>
      <color theme="1"/>
      <name val="Arial"/>
      <family val="2"/>
    </font>
    <font>
      <sz val="9"/>
      <color theme="1"/>
      <name val="Arial"/>
      <family val="2"/>
    </font>
    <font>
      <i/>
      <sz val="9"/>
      <color theme="1"/>
      <name val="Arial"/>
      <family val="2"/>
    </font>
    <font>
      <sz val="8"/>
      <color theme="1"/>
      <name val="Arial"/>
      <family val="2"/>
    </font>
    <font>
      <b/>
      <sz val="8"/>
      <name val="Arial"/>
      <family val="2"/>
    </font>
    <font>
      <u/>
      <sz val="10"/>
      <color indexed="12"/>
      <name val="Arial"/>
      <family val="2"/>
    </font>
    <font>
      <b/>
      <sz val="9"/>
      <color theme="1"/>
      <name val="Arial"/>
      <family val="2"/>
    </font>
    <font>
      <b/>
      <i/>
      <sz val="10"/>
      <name val="Times New Roman"/>
      <family val="1"/>
    </font>
    <font>
      <b/>
      <i/>
      <sz val="10"/>
      <color theme="1"/>
      <name val="Times New Roman"/>
      <family val="1"/>
    </font>
    <font>
      <b/>
      <sz val="10"/>
      <color rgb="FF0000FF"/>
      <name val="Times New Roman"/>
      <family val="1"/>
    </font>
    <font>
      <b/>
      <sz val="10"/>
      <color theme="1"/>
      <name val="Arial"/>
      <family val="2"/>
    </font>
    <font>
      <b/>
      <sz val="11"/>
      <color rgb="FFC00000"/>
      <name val="Calibri"/>
      <family val="2"/>
      <scheme val="minor"/>
    </font>
    <font>
      <b/>
      <i/>
      <sz val="9"/>
      <color theme="1"/>
      <name val="Arial"/>
      <family val="2"/>
    </font>
    <font>
      <b/>
      <u/>
      <sz val="10"/>
      <color rgb="FF0000FF"/>
      <name val="Arial"/>
      <family val="2"/>
    </font>
    <font>
      <b/>
      <u/>
      <sz val="12"/>
      <color rgb="FF0000FF"/>
      <name val="Arial"/>
      <family val="2"/>
    </font>
    <font>
      <b/>
      <sz val="12"/>
      <color rgb="FF0000FF"/>
      <name val="Arial"/>
      <family val="2"/>
    </font>
    <font>
      <b/>
      <u/>
      <sz val="12"/>
      <name val="Arial"/>
      <family val="2"/>
    </font>
    <font>
      <b/>
      <u/>
      <sz val="9"/>
      <color theme="1"/>
      <name val="Arial"/>
      <family val="2"/>
    </font>
    <font>
      <b/>
      <i/>
      <sz val="8"/>
      <color theme="1"/>
      <name val="Arial"/>
      <family val="2"/>
    </font>
    <font>
      <b/>
      <sz val="9"/>
      <color theme="1"/>
      <name val="Calibri"/>
      <family val="2"/>
    </font>
    <font>
      <b/>
      <i/>
      <sz val="9"/>
      <color rgb="FF0000FF"/>
      <name val="Arial"/>
      <family val="2"/>
    </font>
    <font>
      <b/>
      <i/>
      <sz val="8"/>
      <color rgb="FF0000FF"/>
      <name val="Arial"/>
      <family val="2"/>
    </font>
    <font>
      <b/>
      <sz val="11"/>
      <color rgb="FF0000FF"/>
      <name val="Calibri"/>
      <family val="2"/>
      <scheme val="minor"/>
    </font>
    <font>
      <b/>
      <i/>
      <sz val="11"/>
      <color rgb="FF0000FF"/>
      <name val="Calibri"/>
      <family val="2"/>
      <scheme val="minor"/>
    </font>
    <font>
      <b/>
      <i/>
      <sz val="11"/>
      <color rgb="FFFF0000"/>
      <name val="Calibri"/>
      <family val="2"/>
      <scheme val="minor"/>
    </font>
    <font>
      <b/>
      <i/>
      <u/>
      <sz val="12"/>
      <color theme="1"/>
      <name val="Times New Roman"/>
      <family val="1"/>
    </font>
    <font>
      <sz val="11"/>
      <name val="Calibri"/>
      <family val="2"/>
      <scheme val="minor"/>
    </font>
    <font>
      <b/>
      <i/>
      <u/>
      <sz val="9"/>
      <color theme="1"/>
      <name val="Arial"/>
      <family val="2"/>
    </font>
    <font>
      <b/>
      <sz val="10"/>
      <color rgb="FFFF0000"/>
      <name val="Arial"/>
      <family val="2"/>
    </font>
    <font>
      <b/>
      <sz val="10"/>
      <color rgb="FF0000FF"/>
      <name val="Arial"/>
      <family val="2"/>
    </font>
    <font>
      <b/>
      <i/>
      <sz val="10"/>
      <color rgb="FF0000FF"/>
      <name val="Arial"/>
      <family val="2"/>
    </font>
    <font>
      <b/>
      <sz val="9"/>
      <color rgb="FF0000FF"/>
      <name val="Arial"/>
      <family val="2"/>
    </font>
    <font>
      <sz val="11"/>
      <color rgb="FF0000FF"/>
      <name val="Calibri"/>
      <family val="2"/>
      <scheme val="minor"/>
    </font>
    <font>
      <b/>
      <sz val="8"/>
      <color rgb="FF0000FF"/>
      <name val="Arial"/>
      <family val="2"/>
    </font>
    <font>
      <i/>
      <sz val="8"/>
      <color rgb="FFFF0000"/>
      <name val="Arial"/>
      <family val="2"/>
    </font>
    <font>
      <i/>
      <sz val="9"/>
      <color theme="1"/>
      <name val="Calibri"/>
      <family val="2"/>
      <scheme val="minor"/>
    </font>
    <font>
      <b/>
      <i/>
      <sz val="11"/>
      <color rgb="FF0000FF"/>
      <name val="Arial"/>
      <family val="2"/>
    </font>
    <font>
      <sz val="11"/>
      <color theme="1"/>
      <name val="Bell MT"/>
      <family val="1"/>
    </font>
    <font>
      <b/>
      <u/>
      <sz val="12"/>
      <color theme="1"/>
      <name val="Bell MT"/>
      <family val="1"/>
    </font>
    <font>
      <b/>
      <sz val="12"/>
      <color theme="1"/>
      <name val="Bell MT"/>
      <family val="1"/>
    </font>
    <font>
      <b/>
      <sz val="10"/>
      <color theme="1"/>
      <name val="Bell MT"/>
      <family val="1"/>
    </font>
    <font>
      <b/>
      <i/>
      <sz val="10"/>
      <color theme="1"/>
      <name val="Bell MT"/>
      <family val="1"/>
    </font>
  </fonts>
  <fills count="9">
    <fill>
      <patternFill patternType="none"/>
    </fill>
    <fill>
      <patternFill patternType="gray125"/>
    </fill>
    <fill>
      <patternFill patternType="solid">
        <fgColor rgb="FFFFFF00"/>
        <bgColor indexed="64"/>
      </patternFill>
    </fill>
    <fill>
      <patternFill patternType="solid">
        <fgColor indexed="65"/>
        <bgColor indexed="64"/>
      </patternFill>
    </fill>
    <fill>
      <patternFill patternType="solid">
        <fgColor rgb="FFCCFF99"/>
        <bgColor indexed="64"/>
      </patternFill>
    </fill>
    <fill>
      <patternFill patternType="solid">
        <fgColor rgb="FFFF9999"/>
        <bgColor indexed="64"/>
      </patternFill>
    </fill>
    <fill>
      <patternFill patternType="solid">
        <fgColor indexed="65"/>
        <bgColor indexed="9"/>
      </patternFill>
    </fill>
    <fill>
      <patternFill patternType="solid">
        <fgColor theme="0" tint="-0.249977111117893"/>
        <bgColor indexed="64"/>
      </patternFill>
    </fill>
    <fill>
      <patternFill patternType="solid">
        <fgColor theme="8" tint="0.79998168889431442"/>
        <bgColor indexed="64"/>
      </patternFill>
    </fill>
  </fills>
  <borders count="202">
    <border>
      <left/>
      <right/>
      <top/>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double">
        <color indexed="64"/>
      </bottom>
      <diagonal/>
    </border>
    <border>
      <left/>
      <right style="medium">
        <color indexed="64"/>
      </right>
      <top/>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bottom style="thin">
        <color auto="1"/>
      </bottom>
      <diagonal/>
    </border>
    <border>
      <left/>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double">
        <color indexed="64"/>
      </left>
      <right/>
      <top style="double">
        <color indexed="64"/>
      </top>
      <bottom/>
      <diagonal/>
    </border>
    <border>
      <left/>
      <right/>
      <top style="double">
        <color indexed="64"/>
      </top>
      <bottom/>
      <diagonal/>
    </border>
    <border>
      <left style="double">
        <color indexed="64"/>
      </left>
      <right/>
      <top/>
      <bottom style="double">
        <color indexed="64"/>
      </bottom>
      <diagonal/>
    </border>
    <border>
      <left/>
      <right/>
      <top/>
      <bottom style="double">
        <color indexed="64"/>
      </bottom>
      <diagonal/>
    </border>
    <border>
      <left style="thin">
        <color indexed="64"/>
      </left>
      <right/>
      <top style="double">
        <color indexed="64"/>
      </top>
      <bottom/>
      <diagonal/>
    </border>
    <border>
      <left/>
      <right style="thin">
        <color indexed="64"/>
      </right>
      <top style="double">
        <color indexed="64"/>
      </top>
      <bottom/>
      <diagonal/>
    </border>
    <border>
      <left style="double">
        <color indexed="64"/>
      </left>
      <right/>
      <top/>
      <bottom/>
      <diagonal/>
    </border>
    <border>
      <left style="double">
        <color indexed="64"/>
      </left>
      <right/>
      <top/>
      <bottom style="thin">
        <color indexed="64"/>
      </bottom>
      <diagonal/>
    </border>
    <border>
      <left style="thin">
        <color indexed="64"/>
      </left>
      <right/>
      <top style="double">
        <color indexed="64"/>
      </top>
      <bottom style="thin">
        <color indexed="64"/>
      </bottom>
      <diagonal/>
    </border>
    <border>
      <left/>
      <right/>
      <top style="thin">
        <color indexed="64"/>
      </top>
      <bottom style="thin">
        <color indexed="64"/>
      </bottom>
      <diagonal/>
    </border>
    <border>
      <left style="thin">
        <color indexed="64"/>
      </left>
      <right/>
      <top/>
      <bottom style="double">
        <color indexed="64"/>
      </bottom>
      <diagonal/>
    </border>
    <border>
      <left style="double">
        <color indexed="64"/>
      </left>
      <right/>
      <top style="thin">
        <color indexed="64"/>
      </top>
      <bottom/>
      <diagonal/>
    </border>
    <border>
      <left/>
      <right/>
      <top/>
      <bottom style="medium">
        <color indexed="64"/>
      </bottom>
      <diagonal/>
    </border>
    <border>
      <left/>
      <right style="thin">
        <color indexed="64"/>
      </right>
      <top/>
      <bottom style="double">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thin">
        <color indexed="64"/>
      </bottom>
      <diagonal/>
    </border>
    <border>
      <left/>
      <right style="double">
        <color indexed="64"/>
      </right>
      <top/>
      <bottom style="double">
        <color indexed="64"/>
      </bottom>
      <diagonal/>
    </border>
    <border>
      <left/>
      <right/>
      <top style="medium">
        <color indexed="64"/>
      </top>
      <bottom/>
      <diagonal/>
    </border>
    <border>
      <left/>
      <right style="double">
        <color indexed="64"/>
      </right>
      <top style="medium">
        <color indexed="64"/>
      </top>
      <bottom/>
      <diagonal/>
    </border>
    <border>
      <left/>
      <right style="double">
        <color indexed="64"/>
      </right>
      <top style="double">
        <color indexed="64"/>
      </top>
      <bottom/>
      <diagonal/>
    </border>
    <border>
      <left/>
      <right style="double">
        <color indexed="64"/>
      </right>
      <top/>
      <bottom/>
      <diagonal/>
    </border>
    <border>
      <left style="thin">
        <color indexed="64"/>
      </left>
      <right/>
      <top/>
      <bottom style="medium">
        <color indexed="64"/>
      </bottom>
      <diagonal/>
    </border>
    <border>
      <left style="thin">
        <color indexed="64"/>
      </left>
      <right style="thin">
        <color indexed="64"/>
      </right>
      <top/>
      <bottom style="double">
        <color indexed="64"/>
      </bottom>
      <diagonal/>
    </border>
    <border>
      <left style="double">
        <color indexed="64"/>
      </left>
      <right style="thin">
        <color indexed="64"/>
      </right>
      <top style="thin">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right style="double">
        <color indexed="64"/>
      </right>
      <top/>
      <bottom style="thin">
        <color indexed="64"/>
      </bottom>
      <diagonal/>
    </border>
    <border>
      <left style="double">
        <color indexed="64"/>
      </left>
      <right style="thin">
        <color indexed="64"/>
      </right>
      <top style="medium">
        <color indexed="64"/>
      </top>
      <bottom/>
      <diagonal/>
    </border>
    <border>
      <left style="thin">
        <color indexed="64"/>
      </left>
      <right style="thin">
        <color indexed="64"/>
      </right>
      <top style="medium">
        <color indexed="64"/>
      </top>
      <bottom/>
      <diagonal/>
    </border>
    <border>
      <left style="double">
        <color indexed="64"/>
      </left>
      <right style="thin">
        <color indexed="64"/>
      </right>
      <top/>
      <bottom style="thin">
        <color indexed="64"/>
      </bottom>
      <diagonal/>
    </border>
    <border>
      <left style="double">
        <color indexed="64"/>
      </left>
      <right style="thin">
        <color indexed="64"/>
      </right>
      <top/>
      <bottom/>
      <diagonal/>
    </border>
    <border>
      <left style="double">
        <color indexed="64"/>
      </left>
      <right style="thin">
        <color indexed="64"/>
      </right>
      <top/>
      <bottom style="double">
        <color indexed="64"/>
      </bottom>
      <diagonal/>
    </border>
    <border>
      <left style="double">
        <color indexed="64"/>
      </left>
      <right/>
      <top style="medium">
        <color indexed="64"/>
      </top>
      <bottom/>
      <diagonal/>
    </border>
    <border>
      <left style="thin">
        <color indexed="64"/>
      </left>
      <right style="double">
        <color indexed="64"/>
      </right>
      <top style="medium">
        <color indexed="64"/>
      </top>
      <bottom/>
      <diagonal/>
    </border>
    <border>
      <left style="thin">
        <color indexed="64"/>
      </left>
      <right style="double">
        <color indexed="64"/>
      </right>
      <top/>
      <bottom style="thin">
        <color indexed="64"/>
      </bottom>
      <diagonal/>
    </border>
    <border>
      <left style="double">
        <color indexed="64"/>
      </left>
      <right style="thin">
        <color indexed="64"/>
      </right>
      <top style="double">
        <color indexed="64"/>
      </top>
      <bottom/>
      <diagonal/>
    </border>
    <border>
      <left style="thin">
        <color indexed="64"/>
      </left>
      <right style="thin">
        <color indexed="64"/>
      </right>
      <top style="double">
        <color indexed="64"/>
      </top>
      <bottom/>
      <diagonal/>
    </border>
    <border>
      <left style="double">
        <color indexed="64"/>
      </left>
      <right style="thin">
        <color indexed="64"/>
      </right>
      <top/>
      <bottom style="medium">
        <color indexed="64"/>
      </bottom>
      <diagonal/>
    </border>
    <border>
      <left style="thin">
        <color indexed="64"/>
      </left>
      <right style="double">
        <color indexed="64"/>
      </right>
      <top style="double">
        <color indexed="64"/>
      </top>
      <bottom/>
      <diagonal/>
    </border>
    <border>
      <left style="thin">
        <color indexed="64"/>
      </left>
      <right style="double">
        <color indexed="64"/>
      </right>
      <top/>
      <bottom/>
      <diagonal/>
    </border>
    <border>
      <left style="thin">
        <color indexed="64"/>
      </left>
      <right style="double">
        <color indexed="64"/>
      </right>
      <top/>
      <bottom style="medium">
        <color indexed="64"/>
      </bottom>
      <diagonal/>
    </border>
    <border>
      <left style="thin">
        <color indexed="64"/>
      </left>
      <right style="double">
        <color indexed="64"/>
      </right>
      <top/>
      <bottom style="double">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top style="double">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double">
        <color indexed="64"/>
      </right>
      <top style="thin">
        <color indexed="64"/>
      </top>
      <bottom style="medium">
        <color indexed="64"/>
      </bottom>
      <diagonal/>
    </border>
    <border>
      <left/>
      <right style="double">
        <color indexed="64"/>
      </right>
      <top/>
      <bottom style="medium">
        <color indexed="64"/>
      </bottom>
      <diagonal/>
    </border>
    <border>
      <left/>
      <right style="double">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auto="1"/>
      </left>
      <right/>
      <top/>
      <bottom/>
      <diagonal/>
    </border>
    <border>
      <left style="double">
        <color indexed="64"/>
      </left>
      <right style="thin">
        <color indexed="64"/>
      </right>
      <top style="thin">
        <color indexed="64"/>
      </top>
      <bottom style="medium">
        <color indexed="64"/>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auto="1"/>
      </left>
      <right/>
      <top style="thin">
        <color auto="1"/>
      </top>
      <bottom/>
      <diagonal/>
    </border>
    <border>
      <left style="double">
        <color auto="1"/>
      </left>
      <right/>
      <top/>
      <bottom style="medium">
        <color auto="1"/>
      </bottom>
      <diagonal/>
    </border>
    <border>
      <left style="medium">
        <color auto="1"/>
      </left>
      <right/>
      <top/>
      <bottom/>
      <diagonal/>
    </border>
    <border>
      <left style="medium">
        <color auto="1"/>
      </left>
      <right/>
      <top/>
      <bottom style="medium">
        <color indexed="64"/>
      </bottom>
      <diagonal/>
    </border>
    <border>
      <left style="double">
        <color auto="1"/>
      </left>
      <right/>
      <top style="medium">
        <color auto="1"/>
      </top>
      <bottom style="double">
        <color auto="1"/>
      </bottom>
      <diagonal/>
    </border>
    <border>
      <left/>
      <right/>
      <top style="medium">
        <color auto="1"/>
      </top>
      <bottom style="double">
        <color auto="1"/>
      </bottom>
      <diagonal/>
    </border>
    <border>
      <left style="medium">
        <color auto="1"/>
      </left>
      <right/>
      <top style="medium">
        <color auto="1"/>
      </top>
      <bottom style="double">
        <color auto="1"/>
      </bottom>
      <diagonal/>
    </border>
    <border>
      <left/>
      <right style="thin">
        <color indexed="64"/>
      </right>
      <top style="medium">
        <color auto="1"/>
      </top>
      <bottom style="double">
        <color auto="1"/>
      </bottom>
      <diagonal/>
    </border>
    <border>
      <left/>
      <right style="double">
        <color auto="1"/>
      </right>
      <top style="medium">
        <color auto="1"/>
      </top>
      <bottom style="double">
        <color auto="1"/>
      </bottom>
      <diagonal/>
    </border>
    <border>
      <left style="thin">
        <color auto="1"/>
      </left>
      <right style="thin">
        <color auto="1"/>
      </right>
      <top style="thin">
        <color auto="1"/>
      </top>
      <bottom style="thin">
        <color auto="1"/>
      </bottom>
      <diagonal/>
    </border>
    <border>
      <left style="double">
        <color auto="1"/>
      </left>
      <right style="medium">
        <color auto="1"/>
      </right>
      <top style="medium">
        <color auto="1"/>
      </top>
      <bottom style="medium">
        <color auto="1"/>
      </bottom>
      <diagonal/>
    </border>
    <border>
      <left style="medium">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style="double">
        <color indexed="64"/>
      </left>
      <right/>
      <top style="medium">
        <color indexed="64"/>
      </top>
      <bottom style="hair">
        <color indexed="64"/>
      </bottom>
      <diagonal/>
    </border>
    <border>
      <left/>
      <right/>
      <top style="medium">
        <color indexed="64"/>
      </top>
      <bottom style="hair">
        <color indexed="64"/>
      </bottom>
      <diagonal/>
    </border>
    <border>
      <left style="double">
        <color indexed="64"/>
      </left>
      <right/>
      <top style="hair">
        <color indexed="64"/>
      </top>
      <bottom style="thin">
        <color indexed="64"/>
      </bottom>
      <diagonal/>
    </border>
    <border>
      <left/>
      <right/>
      <top style="hair">
        <color indexed="64"/>
      </top>
      <bottom style="thin">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double">
        <color indexed="64"/>
      </right>
      <top style="medium">
        <color indexed="64"/>
      </top>
      <bottom style="hair">
        <color indexed="64"/>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double">
        <color indexed="64"/>
      </right>
      <top style="hair">
        <color indexed="64"/>
      </top>
      <bottom style="thin">
        <color indexed="64"/>
      </bottom>
      <diagonal/>
    </border>
    <border>
      <left style="medium">
        <color indexed="64"/>
      </left>
      <right style="thin">
        <color indexed="64"/>
      </right>
      <top/>
      <bottom/>
      <diagonal/>
    </border>
    <border>
      <left/>
      <right/>
      <top style="thin">
        <color indexed="64"/>
      </top>
      <bottom/>
      <diagonal/>
    </border>
    <border>
      <left/>
      <right style="thin">
        <color indexed="64"/>
      </right>
      <top style="thin">
        <color indexed="64"/>
      </top>
      <bottom/>
      <diagonal/>
    </border>
    <border>
      <left style="medium">
        <color indexed="64"/>
      </left>
      <right style="medium">
        <color indexed="64"/>
      </right>
      <top style="medium">
        <color indexed="64"/>
      </top>
      <bottom style="double">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bottom/>
      <diagonal/>
    </border>
    <border>
      <left style="medium">
        <color indexed="64"/>
      </left>
      <right/>
      <top style="double">
        <color indexed="64"/>
      </top>
      <bottom/>
      <diagonal/>
    </border>
    <border>
      <left/>
      <right style="medium">
        <color indexed="64"/>
      </right>
      <top style="double">
        <color indexed="64"/>
      </top>
      <bottom/>
      <diagonal/>
    </border>
    <border>
      <left/>
      <right/>
      <top style="thin">
        <color indexed="64"/>
      </top>
      <bottom style="double">
        <color indexed="64"/>
      </bottom>
      <diagonal/>
    </border>
    <border>
      <left/>
      <right/>
      <top style="medium">
        <color indexed="64"/>
      </top>
      <bottom style="thin">
        <color indexed="64"/>
      </bottom>
      <diagonal/>
    </border>
    <border>
      <left style="thin">
        <color indexed="64"/>
      </left>
      <right style="thin">
        <color indexed="64"/>
      </right>
      <top style="thin">
        <color indexed="64"/>
      </top>
      <bottom style="double">
        <color indexed="64"/>
      </bottom>
      <diagonal/>
    </border>
    <border>
      <left/>
      <right style="medium">
        <color indexed="64"/>
      </right>
      <top/>
      <bottom style="double">
        <color indexed="64"/>
      </bottom>
      <diagonal/>
    </border>
    <border>
      <left style="double">
        <color indexed="64"/>
      </left>
      <right/>
      <top style="thin">
        <color indexed="64"/>
      </top>
      <bottom style="thin">
        <color indexed="64"/>
      </bottom>
      <diagonal/>
    </border>
    <border>
      <left/>
      <right style="medium">
        <color indexed="64"/>
      </right>
      <top style="medium">
        <color indexed="64"/>
      </top>
      <bottom style="double">
        <color indexed="64"/>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auto="1"/>
      </left>
      <right style="thin">
        <color auto="1"/>
      </right>
      <top/>
      <bottom/>
      <diagonal/>
    </border>
    <border>
      <left style="thin">
        <color auto="1"/>
      </left>
      <right style="medium">
        <color auto="1"/>
      </right>
      <top/>
      <bottom/>
      <diagonal/>
    </border>
    <border>
      <left style="thin">
        <color auto="1"/>
      </left>
      <right/>
      <top style="medium">
        <color indexed="64"/>
      </top>
      <bottom/>
      <diagonal/>
    </border>
    <border>
      <left/>
      <right style="thin">
        <color indexed="64"/>
      </right>
      <top style="medium">
        <color indexed="64"/>
      </top>
      <bottom/>
      <diagonal/>
    </border>
    <border>
      <left/>
      <right style="thick">
        <color indexed="64"/>
      </right>
      <top style="double">
        <color indexed="64"/>
      </top>
      <bottom/>
      <diagonal/>
    </border>
    <border>
      <left/>
      <right style="thick">
        <color indexed="64"/>
      </right>
      <top/>
      <bottom style="medium">
        <color indexed="64"/>
      </bottom>
      <diagonal/>
    </border>
    <border>
      <left/>
      <right style="thick">
        <color indexed="64"/>
      </right>
      <top style="medium">
        <color indexed="64"/>
      </top>
      <bottom/>
      <diagonal/>
    </border>
    <border>
      <left/>
      <right style="thick">
        <color indexed="64"/>
      </right>
      <top/>
      <bottom style="thin">
        <color indexed="64"/>
      </bottom>
      <diagonal/>
    </border>
    <border>
      <left/>
      <right style="thick">
        <color indexed="64"/>
      </right>
      <top/>
      <bottom/>
      <diagonal/>
    </border>
    <border>
      <left/>
      <right style="thick">
        <color indexed="64"/>
      </right>
      <top/>
      <bottom style="double">
        <color indexed="64"/>
      </bottom>
      <diagonal/>
    </border>
    <border>
      <left style="medium">
        <color indexed="64"/>
      </left>
      <right/>
      <top/>
      <bottom style="double">
        <color indexed="64"/>
      </bottom>
      <diagonal/>
    </border>
    <border>
      <left style="thick">
        <color indexed="64"/>
      </left>
      <right/>
      <top style="thin">
        <color indexed="64"/>
      </top>
      <bottom style="medium">
        <color indexed="64"/>
      </bottom>
      <diagonal/>
    </border>
    <border>
      <left style="medium">
        <color auto="1"/>
      </left>
      <right/>
      <top style="thin">
        <color indexed="64"/>
      </top>
      <bottom style="medium">
        <color indexed="64"/>
      </bottom>
      <diagonal/>
    </border>
    <border>
      <left/>
      <right style="double">
        <color indexed="64"/>
      </right>
      <top style="thin">
        <color indexed="64"/>
      </top>
      <bottom style="medium">
        <color indexed="64"/>
      </bottom>
      <diagonal/>
    </border>
    <border>
      <left style="medium">
        <color auto="1"/>
      </left>
      <right/>
      <top style="medium">
        <color indexed="64"/>
      </top>
      <bottom/>
      <diagonal/>
    </border>
    <border>
      <left style="medium">
        <color indexed="64"/>
      </left>
      <right/>
      <top style="double">
        <color indexed="64"/>
      </top>
      <bottom style="thin">
        <color indexed="64"/>
      </bottom>
      <diagonal/>
    </border>
    <border>
      <left style="medium">
        <color indexed="64"/>
      </left>
      <right/>
      <top/>
      <bottom style="thin">
        <color auto="1"/>
      </bottom>
      <diagonal/>
    </border>
    <border>
      <left/>
      <right style="medium">
        <color auto="1"/>
      </right>
      <top style="medium">
        <color auto="1"/>
      </top>
      <bottom/>
      <diagonal/>
    </border>
    <border>
      <left style="medium">
        <color indexed="64"/>
      </left>
      <right style="thin">
        <color indexed="64"/>
      </right>
      <top style="double">
        <color indexed="64"/>
      </top>
      <bottom/>
      <diagonal/>
    </border>
    <border>
      <left style="thin">
        <color indexed="64"/>
      </left>
      <right style="double">
        <color indexed="64"/>
      </right>
      <top/>
      <bottom/>
      <diagonal/>
    </border>
    <border>
      <left style="medium">
        <color indexed="64"/>
      </left>
      <right style="thin">
        <color indexed="64"/>
      </right>
      <top style="medium">
        <color indexed="64"/>
      </top>
      <bottom/>
      <diagonal/>
    </border>
    <border>
      <left style="medium">
        <color indexed="64"/>
      </left>
      <right style="thin">
        <color indexed="64"/>
      </right>
      <top/>
      <bottom style="double">
        <color indexed="64"/>
      </bottom>
      <diagonal/>
    </border>
    <border>
      <left style="thin">
        <color indexed="64"/>
      </left>
      <right style="medium">
        <color auto="1"/>
      </right>
      <top style="medium">
        <color indexed="64"/>
      </top>
      <bottom/>
      <diagonal/>
    </border>
    <border>
      <left style="thin">
        <color indexed="64"/>
      </left>
      <right style="medium">
        <color auto="1"/>
      </right>
      <top style="medium">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double">
        <color indexed="64"/>
      </left>
      <right/>
      <top style="thin">
        <color indexed="64"/>
      </top>
      <bottom style="double">
        <color indexed="64"/>
      </bottom>
      <diagonal/>
    </border>
    <border>
      <left style="medium">
        <color indexed="64"/>
      </left>
      <right style="medium">
        <color indexed="64"/>
      </right>
      <top style="medium">
        <color indexed="64"/>
      </top>
      <bottom/>
      <diagonal/>
    </border>
    <border>
      <left style="thin">
        <color indexed="64"/>
      </left>
      <right style="medium">
        <color indexed="64"/>
      </right>
      <top style="hair">
        <color indexed="64"/>
      </top>
      <bottom style="thin">
        <color indexed="64"/>
      </bottom>
      <diagonal/>
    </border>
    <border>
      <left style="medium">
        <color indexed="64"/>
      </left>
      <right style="medium">
        <color indexed="64"/>
      </right>
      <top style="hair">
        <color indexed="64"/>
      </top>
      <bottom style="thin">
        <color indexed="64"/>
      </bottom>
      <diagonal/>
    </border>
    <border>
      <left style="thin">
        <color indexed="64"/>
      </left>
      <right style="medium">
        <color indexed="64"/>
      </right>
      <top style="thin">
        <color indexed="64"/>
      </top>
      <bottom style="hair">
        <color indexed="64"/>
      </bottom>
      <diagonal/>
    </border>
    <border>
      <left style="medium">
        <color indexed="64"/>
      </left>
      <right style="medium">
        <color indexed="64"/>
      </right>
      <top style="thin">
        <color indexed="64"/>
      </top>
      <bottom style="hair">
        <color indexed="64"/>
      </bottom>
      <diagonal/>
    </border>
    <border>
      <left style="medium">
        <color indexed="64"/>
      </left>
      <right style="thin">
        <color indexed="64"/>
      </right>
      <top style="thin">
        <color indexed="64"/>
      </top>
      <bottom style="hair">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right/>
      <top style="thin">
        <color indexed="8"/>
      </top>
      <bottom/>
      <diagonal/>
    </border>
    <border>
      <left style="thin">
        <color auto="1"/>
      </left>
      <right style="thin">
        <color auto="1"/>
      </right>
      <top style="thin">
        <color auto="1"/>
      </top>
      <bottom style="thin">
        <color auto="1"/>
      </bottom>
      <diagonal/>
    </border>
    <border>
      <left/>
      <right/>
      <top style="thin">
        <color indexed="8"/>
      </top>
      <bottom/>
      <diagonal/>
    </border>
    <border>
      <left style="double">
        <color indexed="64"/>
      </left>
      <right/>
      <top style="double">
        <color indexed="64"/>
      </top>
      <bottom style="medium">
        <color indexed="64"/>
      </bottom>
      <diagonal/>
    </border>
    <border>
      <left/>
      <right/>
      <top style="double">
        <color indexed="64"/>
      </top>
      <bottom style="medium">
        <color indexed="64"/>
      </bottom>
      <diagonal/>
    </border>
    <border>
      <left/>
      <right style="double">
        <color indexed="64"/>
      </right>
      <top style="double">
        <color indexed="64"/>
      </top>
      <bottom style="medium">
        <color indexed="64"/>
      </bottom>
      <diagonal/>
    </border>
    <border>
      <left style="thick">
        <color indexed="64"/>
      </left>
      <right/>
      <top style="double">
        <color indexed="64"/>
      </top>
      <bottom/>
      <diagonal/>
    </border>
    <border>
      <left style="thick">
        <color indexed="64"/>
      </left>
      <right style="thin">
        <color indexed="64"/>
      </right>
      <top/>
      <bottom/>
      <diagonal/>
    </border>
    <border>
      <left style="thick">
        <color indexed="64"/>
      </left>
      <right style="thin">
        <color auto="1"/>
      </right>
      <top/>
      <bottom style="thin">
        <color auto="1"/>
      </bottom>
      <diagonal/>
    </border>
    <border>
      <left style="thick">
        <color indexed="64"/>
      </left>
      <right style="thin">
        <color indexed="64"/>
      </right>
      <top/>
      <bottom style="double">
        <color indexed="64"/>
      </bottom>
      <diagonal/>
    </border>
    <border>
      <left/>
      <right style="thin">
        <color indexed="64"/>
      </right>
      <top style="medium">
        <color indexed="64"/>
      </top>
      <bottom style="thin">
        <color indexed="64"/>
      </bottom>
      <diagonal/>
    </border>
    <border>
      <left style="double">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indexed="64"/>
      </right>
      <top style="thin">
        <color auto="1"/>
      </top>
      <bottom style="hair">
        <color auto="1"/>
      </bottom>
      <diagonal/>
    </border>
    <border>
      <left/>
      <right style="medium">
        <color indexed="64"/>
      </right>
      <top style="thin">
        <color auto="1"/>
      </top>
      <bottom style="hair">
        <color auto="1"/>
      </bottom>
      <diagonal/>
    </border>
    <border>
      <left style="thin">
        <color auto="1"/>
      </left>
      <right/>
      <top style="hair">
        <color auto="1"/>
      </top>
      <bottom style="medium">
        <color indexed="64"/>
      </bottom>
      <diagonal/>
    </border>
    <border>
      <left/>
      <right/>
      <top style="hair">
        <color auto="1"/>
      </top>
      <bottom style="medium">
        <color indexed="64"/>
      </bottom>
      <diagonal/>
    </border>
    <border>
      <left/>
      <right style="thin">
        <color indexed="64"/>
      </right>
      <top style="hair">
        <color auto="1"/>
      </top>
      <bottom style="medium">
        <color indexed="64"/>
      </bottom>
      <diagonal/>
    </border>
    <border>
      <left/>
      <right style="medium">
        <color indexed="64"/>
      </right>
      <top style="hair">
        <color auto="1"/>
      </top>
      <bottom style="medium">
        <color indexed="64"/>
      </bottom>
      <diagonal/>
    </border>
    <border>
      <left/>
      <right/>
      <top/>
      <bottom style="hair">
        <color indexed="64"/>
      </bottom>
      <diagonal/>
    </border>
    <border>
      <left/>
      <right style="thin">
        <color indexed="64"/>
      </right>
      <top/>
      <bottom style="hair">
        <color indexed="64"/>
      </bottom>
      <diagonal/>
    </border>
    <border>
      <left style="medium">
        <color indexed="64"/>
      </left>
      <right style="thin">
        <color indexed="64"/>
      </right>
      <top style="medium">
        <color indexed="64"/>
      </top>
      <bottom style="thin">
        <color indexed="64"/>
      </bottom>
      <diagonal/>
    </border>
    <border>
      <left style="thin">
        <color indexed="64"/>
      </left>
      <right style="double">
        <color indexed="64"/>
      </right>
      <top style="medium">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style="double">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style="medium">
        <color indexed="64"/>
      </right>
      <top style="medium">
        <color indexed="64"/>
      </top>
      <bottom style="thin">
        <color indexed="64"/>
      </bottom>
      <diagonal/>
    </border>
    <border>
      <left/>
      <right style="double">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auto="1"/>
      </left>
      <right/>
      <top style="thin">
        <color auto="1"/>
      </top>
      <bottom style="thin">
        <color auto="1"/>
      </bottom>
      <diagonal/>
    </border>
    <border>
      <left style="double">
        <color indexed="64"/>
      </left>
      <right/>
      <top style="thin">
        <color auto="1"/>
      </top>
      <bottom/>
      <diagonal/>
    </border>
    <border>
      <left/>
      <right/>
      <top style="thin">
        <color indexed="64"/>
      </top>
      <bottom style="thin">
        <color indexed="64"/>
      </bottom>
      <diagonal/>
    </border>
  </borders>
  <cellStyleXfs count="6">
    <xf numFmtId="164" fontId="0" fillId="0" borderId="0"/>
    <xf numFmtId="164" fontId="1" fillId="0" borderId="0"/>
    <xf numFmtId="164" fontId="7" fillId="0" borderId="0"/>
    <xf numFmtId="164" fontId="3" fillId="0" borderId="0"/>
    <xf numFmtId="164" fontId="2" fillId="0" borderId="0"/>
    <xf numFmtId="164" fontId="56" fillId="0" borderId="0" applyNumberFormat="0" applyFill="0" applyBorder="0" applyAlignment="0" applyProtection="0">
      <alignment vertical="top"/>
      <protection locked="0"/>
    </xf>
  </cellStyleXfs>
  <cellXfs count="1225">
    <xf numFmtId="164" fontId="0" fillId="0" borderId="0" xfId="0"/>
    <xf numFmtId="3" fontId="0" fillId="0" borderId="0" xfId="0" applyNumberFormat="1"/>
    <xf numFmtId="165" fontId="0" fillId="0" borderId="0" xfId="0" applyNumberFormat="1"/>
    <xf numFmtId="166" fontId="0" fillId="0" borderId="0" xfId="0" applyNumberFormat="1"/>
    <xf numFmtId="164" fontId="7" fillId="0" borderId="0" xfId="2"/>
    <xf numFmtId="164" fontId="7" fillId="0" borderId="0" xfId="2" applyAlignment="1">
      <alignment horizontal="right"/>
    </xf>
    <xf numFmtId="164" fontId="16" fillId="0" borderId="0" xfId="2" applyFont="1" applyAlignment="1">
      <alignment horizontal="center"/>
    </xf>
    <xf numFmtId="1" fontId="7" fillId="0" borderId="0" xfId="2" applyNumberFormat="1"/>
    <xf numFmtId="1" fontId="7" fillId="0" borderId="0" xfId="2" applyNumberFormat="1" applyAlignment="1">
      <alignment horizontal="center"/>
    </xf>
    <xf numFmtId="165" fontId="7" fillId="0" borderId="0" xfId="2" quotePrefix="1" applyNumberFormat="1"/>
    <xf numFmtId="1" fontId="7" fillId="0" borderId="10" xfId="2" applyNumberFormat="1" applyBorder="1"/>
    <xf numFmtId="164" fontId="7" fillId="0" borderId="10" xfId="2" applyBorder="1"/>
    <xf numFmtId="1" fontId="30" fillId="0" borderId="0" xfId="2" applyNumberFormat="1" applyFont="1" applyAlignment="1">
      <alignment horizontal="center"/>
    </xf>
    <xf numFmtId="3" fontId="7" fillId="0" borderId="0" xfId="2" applyNumberFormat="1" applyFont="1" applyAlignment="1">
      <alignment horizontal="center"/>
    </xf>
    <xf numFmtId="1" fontId="7" fillId="0" borderId="0" xfId="2" applyNumberFormat="1" applyAlignment="1">
      <alignment horizontal="center"/>
    </xf>
    <xf numFmtId="1" fontId="7" fillId="0" borderId="11" xfId="2" applyNumberFormat="1" applyBorder="1"/>
    <xf numFmtId="1" fontId="30" fillId="0" borderId="11" xfId="2" applyNumberFormat="1" applyFont="1" applyBorder="1" applyAlignment="1">
      <alignment horizontal="center"/>
    </xf>
    <xf numFmtId="164" fontId="6" fillId="0" borderId="0" xfId="0" applyFont="1" applyAlignment="1">
      <alignment horizontal="center"/>
    </xf>
    <xf numFmtId="1" fontId="0" fillId="0" borderId="0" xfId="0" applyNumberFormat="1"/>
    <xf numFmtId="164" fontId="0" fillId="0" borderId="11" xfId="0" applyBorder="1"/>
    <xf numFmtId="172" fontId="0" fillId="0" borderId="0" xfId="0" applyNumberFormat="1"/>
    <xf numFmtId="9" fontId="6" fillId="0" borderId="0" xfId="0" quotePrefix="1" applyNumberFormat="1" applyFont="1" applyAlignment="1">
      <alignment horizontal="center"/>
    </xf>
    <xf numFmtId="1" fontId="40" fillId="0" borderId="0" xfId="0" applyNumberFormat="1" applyFont="1" applyAlignment="1">
      <alignment horizontal="center"/>
    </xf>
    <xf numFmtId="3" fontId="35" fillId="0" borderId="0" xfId="0" applyNumberFormat="1" applyFont="1"/>
    <xf numFmtId="171" fontId="0" fillId="0" borderId="0" xfId="0" applyNumberFormat="1"/>
    <xf numFmtId="18" fontId="11" fillId="0" borderId="0" xfId="2" applyNumberFormat="1" applyFont="1" applyBorder="1" applyAlignment="1" applyProtection="1">
      <alignment horizontal="center" vertical="center"/>
    </xf>
    <xf numFmtId="164" fontId="9" fillId="0" borderId="0" xfId="2" applyFont="1" applyBorder="1" applyAlignment="1" applyProtection="1">
      <alignment horizontal="center"/>
    </xf>
    <xf numFmtId="164" fontId="15" fillId="0" borderId="0" xfId="2" applyFont="1" applyBorder="1" applyAlignment="1" applyProtection="1"/>
    <xf numFmtId="164" fontId="9" fillId="0" borderId="11" xfId="2" applyFont="1" applyBorder="1" applyAlignment="1" applyProtection="1">
      <alignment horizontal="center"/>
    </xf>
    <xf numFmtId="164" fontId="9" fillId="0" borderId="0" xfId="2" applyFont="1" applyBorder="1" applyAlignment="1" applyProtection="1">
      <alignment horizontal="left"/>
    </xf>
    <xf numFmtId="164" fontId="25" fillId="0" borderId="0" xfId="2" applyFont="1" applyBorder="1" applyAlignment="1" applyProtection="1"/>
    <xf numFmtId="164" fontId="9" fillId="0" borderId="0" xfId="2" applyFont="1" applyBorder="1" applyAlignment="1" applyProtection="1">
      <alignment horizontal="right"/>
    </xf>
    <xf numFmtId="164" fontId="15" fillId="0" borderId="0" xfId="2" applyFont="1" applyBorder="1" applyAlignment="1" applyProtection="1">
      <alignment horizontal="center" vertical="center"/>
    </xf>
    <xf numFmtId="164" fontId="9" fillId="0" borderId="0" xfId="2" quotePrefix="1" applyFont="1" applyBorder="1" applyAlignment="1" applyProtection="1">
      <alignment horizontal="left"/>
    </xf>
    <xf numFmtId="164" fontId="9" fillId="0" borderId="10" xfId="2" applyFont="1" applyBorder="1" applyAlignment="1" applyProtection="1">
      <alignment horizontal="center"/>
    </xf>
    <xf numFmtId="164" fontId="10" fillId="0" borderId="0" xfId="2" applyFont="1" applyBorder="1" applyAlignment="1" applyProtection="1">
      <alignment horizontal="left"/>
    </xf>
    <xf numFmtId="164" fontId="9" fillId="0" borderId="0" xfId="3" applyFont="1" applyBorder="1" applyProtection="1"/>
    <xf numFmtId="164" fontId="12" fillId="0" borderId="0" xfId="2" applyFont="1" applyBorder="1" applyAlignment="1" applyProtection="1">
      <alignment horizontal="left"/>
    </xf>
    <xf numFmtId="164" fontId="13" fillId="0" borderId="0" xfId="2" applyFont="1" applyBorder="1" applyAlignment="1" applyProtection="1">
      <alignment horizontal="left"/>
    </xf>
    <xf numFmtId="164" fontId="13" fillId="0" borderId="0" xfId="2" applyFont="1" applyBorder="1" applyAlignment="1" applyProtection="1">
      <alignment horizontal="left" vertical="top"/>
    </xf>
    <xf numFmtId="164" fontId="14" fillId="0" borderId="0" xfId="2" applyFont="1" applyBorder="1" applyAlignment="1" applyProtection="1">
      <alignment horizontal="left"/>
    </xf>
    <xf numFmtId="164" fontId="15" fillId="0" borderId="0" xfId="2" applyFont="1" applyBorder="1" applyAlignment="1" applyProtection="1">
      <alignment horizontal="left"/>
    </xf>
    <xf numFmtId="164" fontId="20" fillId="0" borderId="0" xfId="2" applyFont="1" applyBorder="1" applyAlignment="1" applyProtection="1"/>
    <xf numFmtId="164" fontId="29" fillId="0" borderId="0" xfId="2" applyFont="1" applyBorder="1" applyAlignment="1" applyProtection="1">
      <alignment horizontal="left"/>
    </xf>
    <xf numFmtId="164" fontId="41" fillId="0" borderId="0" xfId="0" applyFont="1" applyBorder="1" applyAlignment="1">
      <alignment vertical="top" wrapText="1"/>
    </xf>
    <xf numFmtId="164" fontId="0" fillId="0" borderId="0" xfId="0" applyBorder="1"/>
    <xf numFmtId="164" fontId="0" fillId="0" borderId="12" xfId="0" applyBorder="1"/>
    <xf numFmtId="164" fontId="0" fillId="0" borderId="13" xfId="0" applyBorder="1"/>
    <xf numFmtId="164" fontId="0" fillId="0" borderId="70" xfId="0" applyBorder="1"/>
    <xf numFmtId="164" fontId="0" fillId="0" borderId="1" xfId="0" applyBorder="1"/>
    <xf numFmtId="164" fontId="0" fillId="0" borderId="14" xfId="0" applyBorder="1"/>
    <xf numFmtId="164" fontId="0" fillId="0" borderId="10" xfId="0" applyBorder="1"/>
    <xf numFmtId="164" fontId="0" fillId="0" borderId="15" xfId="0" applyBorder="1"/>
    <xf numFmtId="165" fontId="25" fillId="0" borderId="0" xfId="2" quotePrefix="1" applyNumberFormat="1" applyFont="1" applyBorder="1" applyAlignment="1" applyProtection="1">
      <alignment vertical="center" textRotation="60" wrapText="1"/>
    </xf>
    <xf numFmtId="1" fontId="15" fillId="0" borderId="0" xfId="2" applyNumberFormat="1" applyFont="1" applyBorder="1" applyAlignment="1" applyProtection="1"/>
    <xf numFmtId="9" fontId="15" fillId="0" borderId="0" xfId="2" quotePrefix="1" applyNumberFormat="1" applyFont="1" applyBorder="1" applyAlignment="1" applyProtection="1"/>
    <xf numFmtId="164" fontId="9" fillId="0" borderId="0" xfId="2" applyFont="1" applyBorder="1" applyAlignment="1" applyProtection="1"/>
    <xf numFmtId="3" fontId="25" fillId="0" borderId="0" xfId="2" applyNumberFormat="1" applyFont="1" applyBorder="1" applyAlignment="1" applyProtection="1">
      <alignment vertical="center"/>
    </xf>
    <xf numFmtId="1" fontId="9" fillId="0" borderId="0" xfId="2" applyNumberFormat="1" applyFont="1" applyFill="1" applyBorder="1" applyAlignment="1" applyProtection="1"/>
    <xf numFmtId="167" fontId="9" fillId="0" borderId="0" xfId="2" applyNumberFormat="1" applyFont="1" applyFill="1" applyBorder="1" applyAlignment="1" applyProtection="1"/>
    <xf numFmtId="168" fontId="9" fillId="0" borderId="0" xfId="2" applyNumberFormat="1" applyFont="1" applyFill="1" applyBorder="1" applyAlignment="1" applyProtection="1"/>
    <xf numFmtId="1" fontId="43" fillId="0" borderId="0" xfId="0" applyNumberFormat="1" applyFont="1" applyAlignment="1">
      <alignment horizontal="center"/>
    </xf>
    <xf numFmtId="164" fontId="13" fillId="0" borderId="0" xfId="2" applyFont="1" applyBorder="1" applyAlignment="1" applyProtection="1">
      <alignment vertical="center" wrapText="1"/>
    </xf>
    <xf numFmtId="164" fontId="9" fillId="0" borderId="0" xfId="2" applyFont="1" applyFill="1" applyBorder="1" applyAlignment="1" applyProtection="1">
      <alignment horizontal="center"/>
    </xf>
    <xf numFmtId="164" fontId="13" fillId="0" borderId="0" xfId="2" applyFont="1" applyFill="1" applyBorder="1" applyAlignment="1" applyProtection="1">
      <alignment vertical="center" wrapText="1"/>
    </xf>
    <xf numFmtId="164" fontId="9" fillId="0" borderId="0" xfId="2" applyFont="1" applyFill="1" applyBorder="1" applyAlignment="1" applyProtection="1">
      <alignment horizontal="right"/>
    </xf>
    <xf numFmtId="164" fontId="14" fillId="0" borderId="0" xfId="2" applyFont="1" applyFill="1" applyBorder="1" applyAlignment="1" applyProtection="1">
      <alignment horizontal="left"/>
    </xf>
    <xf numFmtId="164" fontId="9" fillId="0" borderId="0" xfId="2" applyFont="1" applyFill="1" applyBorder="1" applyAlignment="1" applyProtection="1">
      <alignment horizontal="left"/>
    </xf>
    <xf numFmtId="164" fontId="20" fillId="0" borderId="0" xfId="2" applyFont="1" applyFill="1" applyBorder="1" applyAlignment="1" applyProtection="1"/>
    <xf numFmtId="164" fontId="9" fillId="0" borderId="0" xfId="2" applyFont="1" applyFill="1" applyBorder="1" applyAlignment="1" applyProtection="1">
      <alignment horizontal="center" vertical="center"/>
    </xf>
    <xf numFmtId="164" fontId="19" fillId="0" borderId="0" xfId="2" applyFont="1" applyFill="1" applyBorder="1" applyAlignment="1" applyProtection="1"/>
    <xf numFmtId="164" fontId="14" fillId="0" borderId="0" xfId="2" applyFont="1" applyFill="1" applyBorder="1" applyAlignment="1" applyProtection="1">
      <alignment vertical="top" wrapText="1"/>
    </xf>
    <xf numFmtId="164" fontId="14" fillId="0" borderId="0" xfId="2" applyFont="1" applyFill="1" applyBorder="1" applyAlignment="1" applyProtection="1">
      <alignment vertical="center"/>
    </xf>
    <xf numFmtId="1" fontId="0" fillId="0" borderId="0" xfId="0" applyNumberFormat="1" applyAlignment="1">
      <alignment vertical="center"/>
    </xf>
    <xf numFmtId="164" fontId="0" fillId="0" borderId="0" xfId="0" applyAlignment="1">
      <alignment vertical="center"/>
    </xf>
    <xf numFmtId="164" fontId="7" fillId="0" borderId="0" xfId="2"/>
    <xf numFmtId="164" fontId="9" fillId="0" borderId="0" xfId="2" applyFont="1" applyAlignment="1">
      <alignment horizontal="center"/>
    </xf>
    <xf numFmtId="164" fontId="7" fillId="0" borderId="0" xfId="2" applyBorder="1"/>
    <xf numFmtId="164" fontId="9" fillId="0" borderId="0" xfId="2" applyFont="1" applyBorder="1" applyAlignment="1" applyProtection="1">
      <alignment horizontal="center"/>
      <protection hidden="1"/>
    </xf>
    <xf numFmtId="164" fontId="14" fillId="0" borderId="0" xfId="2" applyFont="1" applyBorder="1" applyAlignment="1" applyProtection="1">
      <alignment horizontal="left"/>
      <protection hidden="1"/>
    </xf>
    <xf numFmtId="164" fontId="15" fillId="0" borderId="0" xfId="2" applyFont="1" applyBorder="1" applyAlignment="1" applyProtection="1">
      <protection hidden="1"/>
    </xf>
    <xf numFmtId="164" fontId="9" fillId="0" borderId="0" xfId="2" applyFont="1" applyBorder="1" applyProtection="1">
      <protection hidden="1"/>
    </xf>
    <xf numFmtId="164" fontId="9" fillId="0" borderId="0" xfId="2" applyFont="1" applyBorder="1"/>
    <xf numFmtId="164" fontId="0" fillId="0" borderId="0" xfId="0" applyFill="1" applyBorder="1"/>
    <xf numFmtId="164" fontId="15" fillId="0" borderId="0" xfId="2" applyFont="1" applyFill="1" applyBorder="1" applyAlignment="1" applyProtection="1"/>
    <xf numFmtId="165" fontId="25" fillId="0" borderId="0" xfId="2" quotePrefix="1" applyNumberFormat="1" applyFont="1" applyFill="1" applyBorder="1" applyAlignment="1" applyProtection="1">
      <alignment vertical="center" textRotation="60" wrapText="1"/>
    </xf>
    <xf numFmtId="1" fontId="15" fillId="0" borderId="0" xfId="2" applyNumberFormat="1" applyFont="1" applyFill="1" applyBorder="1" applyAlignment="1" applyProtection="1"/>
    <xf numFmtId="9" fontId="15" fillId="0" borderId="0" xfId="2" quotePrefix="1" applyNumberFormat="1" applyFont="1" applyFill="1" applyBorder="1" applyAlignment="1" applyProtection="1"/>
    <xf numFmtId="164" fontId="26" fillId="0" borderId="0" xfId="2" applyFont="1" applyFill="1" applyBorder="1" applyAlignment="1" applyProtection="1">
      <alignment vertical="center" textRotation="90" wrapText="1"/>
    </xf>
    <xf numFmtId="164" fontId="9" fillId="0" borderId="0" xfId="2" applyFont="1" applyFill="1" applyBorder="1" applyAlignment="1" applyProtection="1">
      <alignment vertical="center"/>
    </xf>
    <xf numFmtId="1" fontId="9" fillId="0" borderId="0" xfId="2" applyNumberFormat="1" applyFont="1" applyFill="1" applyBorder="1" applyAlignment="1" applyProtection="1">
      <alignment vertical="center"/>
    </xf>
    <xf numFmtId="3" fontId="25" fillId="0" borderId="0" xfId="2" applyNumberFormat="1" applyFont="1" applyFill="1" applyBorder="1" applyAlignment="1" applyProtection="1">
      <alignment vertical="center"/>
    </xf>
    <xf numFmtId="164" fontId="7" fillId="0" borderId="0" xfId="2"/>
    <xf numFmtId="164" fontId="7" fillId="0" borderId="0" xfId="2" applyFont="1"/>
    <xf numFmtId="164" fontId="5" fillId="0" borderId="0" xfId="2" applyFont="1" applyBorder="1" applyAlignment="1">
      <alignment horizontal="center"/>
    </xf>
    <xf numFmtId="1" fontId="7" fillId="0" borderId="0" xfId="2" applyNumberFormat="1" applyAlignment="1">
      <alignment horizontal="center"/>
    </xf>
    <xf numFmtId="2" fontId="0" fillId="0" borderId="0" xfId="0" applyNumberFormat="1" applyBorder="1"/>
    <xf numFmtId="164" fontId="7" fillId="0" borderId="0" xfId="2"/>
    <xf numFmtId="164" fontId="9" fillId="0" borderId="0" xfId="2" applyFont="1" applyAlignment="1" applyProtection="1">
      <alignment horizontal="center"/>
      <protection locked="0"/>
    </xf>
    <xf numFmtId="164" fontId="9" fillId="0" borderId="0" xfId="2" applyFont="1" applyProtection="1">
      <protection locked="0"/>
    </xf>
    <xf numFmtId="164" fontId="18" fillId="0" borderId="0" xfId="3" applyFont="1" applyProtection="1">
      <protection locked="0"/>
    </xf>
    <xf numFmtId="164" fontId="15" fillId="0" borderId="72" xfId="4" applyFont="1" applyBorder="1" applyAlignment="1" applyProtection="1">
      <alignment horizontal="center"/>
      <protection locked="0"/>
    </xf>
    <xf numFmtId="164" fontId="9" fillId="0" borderId="0" xfId="4" applyFont="1" applyProtection="1">
      <protection locked="0"/>
    </xf>
    <xf numFmtId="2" fontId="9" fillId="0" borderId="72" xfId="4" applyNumberFormat="1" applyFont="1" applyBorder="1" applyAlignment="1" applyProtection="1">
      <alignment horizontal="center"/>
      <protection locked="0"/>
    </xf>
    <xf numFmtId="164" fontId="7" fillId="0" borderId="0" xfId="2" applyProtection="1">
      <protection locked="0"/>
    </xf>
    <xf numFmtId="164" fontId="3" fillId="0" borderId="0" xfId="3" applyFont="1" applyProtection="1">
      <protection locked="0"/>
    </xf>
    <xf numFmtId="2" fontId="14" fillId="0" borderId="72" xfId="2" applyNumberFormat="1" applyFont="1" applyBorder="1" applyAlignment="1" applyProtection="1">
      <alignment horizontal="center"/>
      <protection locked="0"/>
    </xf>
    <xf numFmtId="2" fontId="18" fillId="0" borderId="0" xfId="3" applyNumberFormat="1" applyFont="1" applyProtection="1">
      <protection locked="0"/>
    </xf>
    <xf numFmtId="1" fontId="9" fillId="0" borderId="72" xfId="4" applyNumberFormat="1" applyFont="1" applyBorder="1" applyAlignment="1" applyProtection="1">
      <alignment horizontal="center"/>
      <protection locked="0"/>
    </xf>
    <xf numFmtId="164" fontId="9" fillId="0" borderId="0" xfId="2" applyFont="1" applyProtection="1">
      <protection hidden="1"/>
    </xf>
    <xf numFmtId="164" fontId="47" fillId="0" borderId="0" xfId="2" applyFont="1" applyBorder="1" applyProtection="1">
      <protection hidden="1"/>
    </xf>
    <xf numFmtId="164" fontId="46" fillId="0" borderId="0" xfId="2" applyFont="1" applyBorder="1" applyProtection="1">
      <protection hidden="1"/>
    </xf>
    <xf numFmtId="164" fontId="48" fillId="0" borderId="0" xfId="2" applyFont="1" applyBorder="1" applyAlignment="1" applyProtection="1">
      <alignment horizontal="right"/>
      <protection hidden="1"/>
    </xf>
    <xf numFmtId="164" fontId="49" fillId="0" borderId="0" xfId="2" applyFont="1" applyBorder="1" applyProtection="1">
      <protection hidden="1"/>
    </xf>
    <xf numFmtId="164" fontId="7" fillId="0" borderId="0" xfId="2" applyProtection="1">
      <protection hidden="1"/>
    </xf>
    <xf numFmtId="164" fontId="9" fillId="0" borderId="0" xfId="2" applyFont="1" applyBorder="1"/>
    <xf numFmtId="1" fontId="51" fillId="0" borderId="0" xfId="0" applyNumberFormat="1" applyFont="1" applyAlignment="1">
      <alignment vertical="center"/>
    </xf>
    <xf numFmtId="164" fontId="0" fillId="0" borderId="0" xfId="0" applyAlignment="1"/>
    <xf numFmtId="3" fontId="14" fillId="2" borderId="3" xfId="2" applyNumberFormat="1" applyFont="1" applyFill="1" applyBorder="1" applyAlignment="1" applyProtection="1">
      <alignment vertical="top"/>
    </xf>
    <xf numFmtId="164" fontId="52" fillId="0" borderId="39" xfId="0" applyFont="1" applyBorder="1" applyAlignment="1">
      <alignment vertical="top"/>
    </xf>
    <xf numFmtId="165" fontId="0" fillId="0" borderId="0" xfId="0" applyNumberFormat="1" applyAlignment="1">
      <alignment horizontal="center"/>
    </xf>
    <xf numFmtId="164" fontId="35" fillId="0" borderId="0" xfId="0" applyFont="1" applyBorder="1" applyAlignment="1"/>
    <xf numFmtId="164" fontId="52" fillId="0" borderId="70" xfId="0" applyFont="1" applyBorder="1" applyAlignment="1">
      <alignment horizontal="center" vertical="top" wrapText="1"/>
    </xf>
    <xf numFmtId="164" fontId="52" fillId="0" borderId="39" xfId="0" applyFont="1" applyBorder="1" applyAlignment="1">
      <alignment horizontal="center" vertical="top" wrapText="1"/>
    </xf>
    <xf numFmtId="164" fontId="52" fillId="0" borderId="76" xfId="0" applyFont="1" applyBorder="1" applyAlignment="1">
      <alignment horizontal="center" vertical="top" wrapText="1"/>
    </xf>
    <xf numFmtId="164" fontId="52" fillId="0" borderId="31" xfId="0" applyFont="1" applyBorder="1" applyAlignment="1">
      <alignment horizontal="center" vertical="top" wrapText="1"/>
    </xf>
    <xf numFmtId="3" fontId="14" fillId="2" borderId="77" xfId="2" applyNumberFormat="1" applyFont="1" applyFill="1" applyBorder="1" applyAlignment="1" applyProtection="1">
      <alignment vertical="top"/>
    </xf>
    <xf numFmtId="164" fontId="52" fillId="0" borderId="0" xfId="0" applyFont="1" applyFill="1" applyBorder="1" applyAlignment="1">
      <alignment vertical="top" wrapText="1"/>
    </xf>
    <xf numFmtId="3" fontId="14" fillId="0" borderId="0" xfId="2" applyNumberFormat="1" applyFont="1" applyFill="1" applyBorder="1" applyAlignment="1" applyProtection="1">
      <alignment vertical="top"/>
    </xf>
    <xf numFmtId="164" fontId="35" fillId="0" borderId="0" xfId="0" applyFont="1" applyFill="1" applyBorder="1" applyAlignment="1">
      <alignment vertical="center"/>
    </xf>
    <xf numFmtId="1" fontId="52" fillId="0" borderId="0" xfId="0" applyNumberFormat="1" applyFont="1" applyFill="1" applyBorder="1" applyAlignment="1">
      <alignment vertical="top"/>
    </xf>
    <xf numFmtId="164" fontId="52" fillId="0" borderId="0" xfId="0" applyFont="1" applyFill="1" applyBorder="1" applyAlignment="1">
      <alignment vertical="top"/>
    </xf>
    <xf numFmtId="3" fontId="53" fillId="0" borderId="0" xfId="0" applyNumberFormat="1" applyFont="1" applyAlignment="1">
      <alignment vertical="top"/>
    </xf>
    <xf numFmtId="1" fontId="51" fillId="0" borderId="0" xfId="0" applyNumberFormat="1" applyFont="1" applyAlignment="1">
      <alignment horizontal="center" vertical="center"/>
    </xf>
    <xf numFmtId="164" fontId="0" fillId="0" borderId="0" xfId="0" applyAlignment="1">
      <alignment horizontal="center" vertical="center"/>
    </xf>
    <xf numFmtId="164" fontId="6" fillId="0" borderId="0" xfId="0" applyFont="1" applyAlignment="1">
      <alignment horizontal="center"/>
    </xf>
    <xf numFmtId="3" fontId="52" fillId="0" borderId="0" xfId="0" applyNumberFormat="1" applyFont="1" applyAlignment="1">
      <alignment vertical="top"/>
    </xf>
    <xf numFmtId="164" fontId="52" fillId="0" borderId="0" xfId="0" applyFont="1" applyAlignment="1">
      <alignment vertical="top"/>
    </xf>
    <xf numFmtId="164" fontId="13" fillId="0" borderId="0" xfId="2" applyFont="1" applyBorder="1" applyAlignment="1" applyProtection="1">
      <alignment horizontal="right"/>
      <protection hidden="1"/>
    </xf>
    <xf numFmtId="164" fontId="4" fillId="0" borderId="0" xfId="2" applyFont="1" applyBorder="1" applyAlignment="1" applyProtection="1">
      <alignment horizontal="center"/>
    </xf>
    <xf numFmtId="164" fontId="13" fillId="0" borderId="0" xfId="2" applyFont="1" applyFill="1" applyBorder="1" applyAlignment="1" applyProtection="1"/>
    <xf numFmtId="164" fontId="13" fillId="0" borderId="0" xfId="2" applyFont="1" applyBorder="1" applyAlignment="1" applyProtection="1">
      <alignment horizontal="left" vertical="top"/>
      <protection hidden="1"/>
    </xf>
    <xf numFmtId="164" fontId="4" fillId="0" borderId="0" xfId="2" applyFont="1" applyProtection="1">
      <protection hidden="1"/>
    </xf>
    <xf numFmtId="164" fontId="0" fillId="0" borderId="0" xfId="0" applyFill="1" applyBorder="1" applyAlignment="1">
      <alignment horizontal="center"/>
    </xf>
    <xf numFmtId="164" fontId="15" fillId="0" borderId="0" xfId="2" applyFont="1" applyFill="1" applyBorder="1" applyAlignment="1" applyProtection="1">
      <protection hidden="1"/>
    </xf>
    <xf numFmtId="164" fontId="9" fillId="0" borderId="0" xfId="2" applyFont="1" applyFill="1" applyBorder="1" applyProtection="1">
      <protection hidden="1"/>
    </xf>
    <xf numFmtId="164" fontId="7" fillId="0" borderId="0" xfId="2" applyFill="1" applyBorder="1"/>
    <xf numFmtId="165" fontId="28" fillId="0" borderId="0" xfId="2" applyNumberFormat="1" applyFont="1" applyFill="1" applyBorder="1" applyAlignment="1" applyProtection="1">
      <alignment vertical="center" textRotation="75" wrapText="1"/>
      <protection locked="0"/>
    </xf>
    <xf numFmtId="3" fontId="25" fillId="0" borderId="0" xfId="2" applyNumberFormat="1" applyFont="1" applyFill="1" applyBorder="1" applyAlignment="1" applyProtection="1">
      <alignment vertical="center"/>
      <protection locked="0"/>
    </xf>
    <xf numFmtId="164" fontId="9" fillId="0" borderId="0" xfId="2" applyFont="1" applyBorder="1" applyAlignment="1" applyProtection="1">
      <alignment horizontal="right" vertical="top"/>
    </xf>
    <xf numFmtId="164" fontId="19" fillId="0" borderId="0" xfId="2" applyFont="1" applyBorder="1" applyAlignment="1" applyProtection="1"/>
    <xf numFmtId="164" fontId="0" fillId="0" borderId="0" xfId="0" applyNumberFormat="1"/>
    <xf numFmtId="169" fontId="23" fillId="0" borderId="0" xfId="0" applyNumberFormat="1" applyFont="1" applyAlignment="1" applyProtection="1">
      <protection locked="0"/>
    </xf>
    <xf numFmtId="169" fontId="23" fillId="0" borderId="0" xfId="0" applyNumberFormat="1" applyFont="1" applyAlignment="1" applyProtection="1">
      <alignment horizontal="center"/>
      <protection locked="0"/>
    </xf>
    <xf numFmtId="170" fontId="23" fillId="0" borderId="0" xfId="0" applyNumberFormat="1" applyFont="1" applyAlignment="1" applyProtection="1">
      <protection locked="0"/>
    </xf>
    <xf numFmtId="164" fontId="7" fillId="0" borderId="0" xfId="0" applyNumberFormat="1" applyFont="1"/>
    <xf numFmtId="164" fontId="0" fillId="0" borderId="0" xfId="0" applyNumberFormat="1" applyProtection="1">
      <protection locked="0"/>
    </xf>
    <xf numFmtId="1" fontId="27" fillId="0" borderId="72" xfId="4" applyNumberFormat="1" applyFont="1" applyBorder="1" applyAlignment="1" applyProtection="1">
      <alignment horizontal="center"/>
      <protection locked="0"/>
    </xf>
    <xf numFmtId="2" fontId="27" fillId="0" borderId="72" xfId="0" applyNumberFormat="1" applyFont="1" applyBorder="1" applyAlignment="1" applyProtection="1">
      <alignment horizontal="center"/>
      <protection locked="0"/>
    </xf>
    <xf numFmtId="2" fontId="14" fillId="0" borderId="72" xfId="4" applyNumberFormat="1" applyFont="1" applyBorder="1" applyAlignment="1" applyProtection="1">
      <alignment horizontal="center"/>
      <protection locked="0"/>
    </xf>
    <xf numFmtId="2" fontId="27" fillId="0" borderId="72" xfId="4" applyNumberFormat="1" applyFont="1" applyBorder="1" applyAlignment="1" applyProtection="1">
      <alignment horizontal="center"/>
      <protection locked="0"/>
    </xf>
    <xf numFmtId="2" fontId="7" fillId="0" borderId="72" xfId="4" applyNumberFormat="1" applyFont="1" applyBorder="1" applyAlignment="1" applyProtection="1">
      <alignment horizontal="center"/>
      <protection locked="0"/>
    </xf>
    <xf numFmtId="3" fontId="25" fillId="0" borderId="0" xfId="2" applyNumberFormat="1" applyFont="1" applyFill="1" applyBorder="1" applyAlignment="1" applyProtection="1">
      <alignment horizontal="center" vertical="center"/>
      <protection locked="0"/>
    </xf>
    <xf numFmtId="164" fontId="13" fillId="0" borderId="0" xfId="2" applyFont="1" applyFill="1" applyBorder="1" applyAlignment="1" applyProtection="1">
      <alignment vertical="center"/>
    </xf>
    <xf numFmtId="164" fontId="0" fillId="0" borderId="18" xfId="0" applyBorder="1"/>
    <xf numFmtId="3" fontId="25" fillId="0" borderId="28" xfId="2" applyNumberFormat="1" applyFont="1" applyFill="1" applyBorder="1" applyAlignment="1" applyProtection="1">
      <alignment vertical="center"/>
    </xf>
    <xf numFmtId="3" fontId="15" fillId="0" borderId="89" xfId="2" applyNumberFormat="1" applyFont="1" applyFill="1" applyBorder="1" applyAlignment="1" applyProtection="1">
      <alignment horizontal="center" vertical="center"/>
    </xf>
    <xf numFmtId="164" fontId="0" fillId="0" borderId="0" xfId="0" applyAlignment="1">
      <alignment horizontal="center"/>
    </xf>
    <xf numFmtId="164" fontId="26" fillId="0" borderId="0" xfId="2" applyFont="1" applyAlignment="1">
      <alignment horizontal="center" vertical="center"/>
    </xf>
    <xf numFmtId="164" fontId="13" fillId="0" borderId="0" xfId="2" applyFont="1" applyBorder="1" applyAlignment="1" applyProtection="1">
      <alignment horizontal="left"/>
      <protection hidden="1"/>
    </xf>
    <xf numFmtId="164" fontId="9" fillId="0" borderId="0" xfId="2" applyFont="1" applyBorder="1" applyAlignment="1" applyProtection="1">
      <alignment horizontal="center"/>
    </xf>
    <xf numFmtId="164" fontId="15" fillId="0" borderId="0" xfId="2" applyFont="1" applyBorder="1" applyAlignment="1" applyProtection="1"/>
    <xf numFmtId="164" fontId="9" fillId="0" borderId="0" xfId="2" applyFont="1" applyBorder="1" applyAlignment="1" applyProtection="1">
      <alignment horizontal="left"/>
    </xf>
    <xf numFmtId="164" fontId="15" fillId="0" borderId="72" xfId="4" applyFont="1" applyBorder="1" applyAlignment="1" applyProtection="1">
      <alignment horizontal="center"/>
      <protection locked="0"/>
    </xf>
    <xf numFmtId="2" fontId="9" fillId="0" borderId="72" xfId="4" applyNumberFormat="1" applyFont="1" applyBorder="1" applyAlignment="1" applyProtection="1">
      <alignment horizontal="center"/>
      <protection locked="0"/>
    </xf>
    <xf numFmtId="164" fontId="9" fillId="0" borderId="0" xfId="2" applyFont="1" applyBorder="1" applyAlignment="1" applyProtection="1">
      <alignment horizontal="right"/>
    </xf>
    <xf numFmtId="164" fontId="9" fillId="0" borderId="10" xfId="2" applyFont="1" applyBorder="1" applyAlignment="1" applyProtection="1">
      <alignment horizontal="center"/>
    </xf>
    <xf numFmtId="164" fontId="4" fillId="0" borderId="0" xfId="2" applyFont="1" applyBorder="1" applyAlignment="1" applyProtection="1">
      <alignment horizontal="center"/>
    </xf>
    <xf numFmtId="1" fontId="9" fillId="0" borderId="72" xfId="4" applyNumberFormat="1" applyFont="1" applyBorder="1" applyAlignment="1" applyProtection="1">
      <alignment horizontal="center"/>
      <protection locked="0"/>
    </xf>
    <xf numFmtId="164" fontId="15" fillId="0" borderId="0" xfId="2" applyFont="1" applyBorder="1" applyAlignment="1" applyProtection="1">
      <alignment horizontal="center"/>
    </xf>
    <xf numFmtId="164" fontId="0" fillId="0" borderId="22" xfId="0" applyBorder="1"/>
    <xf numFmtId="164" fontId="57" fillId="0" borderId="104" xfId="0" applyFont="1" applyBorder="1" applyAlignment="1">
      <alignment horizontal="center" vertical="center"/>
    </xf>
    <xf numFmtId="2" fontId="0" fillId="0" borderId="0" xfId="0" applyNumberFormat="1"/>
    <xf numFmtId="164" fontId="57" fillId="0" borderId="0" xfId="0" applyFont="1" applyBorder="1" applyAlignment="1">
      <alignment horizontal="center" vertical="center"/>
    </xf>
    <xf numFmtId="164" fontId="0" fillId="0" borderId="0" xfId="0" applyBorder="1" applyAlignment="1">
      <alignment vertical="top"/>
    </xf>
    <xf numFmtId="164" fontId="54" fillId="0" borderId="0" xfId="0" applyFont="1" applyBorder="1" applyAlignment="1">
      <alignment vertical="top" wrapText="1"/>
    </xf>
    <xf numFmtId="165" fontId="0" fillId="0" borderId="0" xfId="0" applyNumberFormat="1" applyAlignment="1">
      <alignment horizontal="center" vertical="center"/>
    </xf>
    <xf numFmtId="3" fontId="53" fillId="2" borderId="3" xfId="0" applyNumberFormat="1" applyFont="1" applyFill="1" applyBorder="1" applyAlignment="1">
      <alignment horizontal="center" vertical="top"/>
    </xf>
    <xf numFmtId="3" fontId="14" fillId="2" borderId="77" xfId="2" applyNumberFormat="1" applyFont="1" applyFill="1" applyBorder="1" applyAlignment="1" applyProtection="1">
      <alignment horizontal="center" vertical="top"/>
    </xf>
    <xf numFmtId="1" fontId="52" fillId="0" borderId="12" xfId="0" applyNumberFormat="1" applyFont="1" applyBorder="1" applyAlignment="1">
      <alignment vertical="top"/>
    </xf>
    <xf numFmtId="1" fontId="52" fillId="0" borderId="76" xfId="0" applyNumberFormat="1" applyFont="1" applyBorder="1" applyAlignment="1">
      <alignment vertical="top"/>
    </xf>
    <xf numFmtId="164" fontId="52" fillId="0" borderId="31" xfId="0" applyFont="1" applyBorder="1" applyAlignment="1">
      <alignment vertical="top"/>
    </xf>
    <xf numFmtId="164" fontId="50" fillId="0" borderId="0" xfId="2" applyFont="1" applyBorder="1" applyAlignment="1" applyProtection="1"/>
    <xf numFmtId="164" fontId="4" fillId="0" borderId="0" xfId="2" applyFont="1" applyBorder="1" applyAlignment="1" applyProtection="1"/>
    <xf numFmtId="164" fontId="4" fillId="0" borderId="80" xfId="2" applyFont="1" applyBorder="1" applyAlignment="1" applyProtection="1">
      <alignment horizontal="center"/>
    </xf>
    <xf numFmtId="164" fontId="4" fillId="0" borderId="6" xfId="2" applyFont="1" applyBorder="1" applyAlignment="1" applyProtection="1">
      <alignment horizontal="center"/>
    </xf>
    <xf numFmtId="164" fontId="9" fillId="0" borderId="80" xfId="2" applyFont="1" applyFill="1" applyBorder="1" applyAlignment="1" applyProtection="1">
      <alignment horizontal="center"/>
    </xf>
    <xf numFmtId="164" fontId="15" fillId="0" borderId="6" xfId="2" applyFont="1" applyFill="1" applyBorder="1" applyAlignment="1" applyProtection="1"/>
    <xf numFmtId="165" fontId="25" fillId="0" borderId="6" xfId="2" quotePrefix="1" applyNumberFormat="1" applyFont="1" applyFill="1" applyBorder="1" applyAlignment="1" applyProtection="1">
      <alignment vertical="center" textRotation="60" wrapText="1"/>
    </xf>
    <xf numFmtId="164" fontId="26" fillId="0" borderId="80" xfId="2" applyFont="1" applyFill="1" applyBorder="1" applyAlignment="1" applyProtection="1">
      <alignment vertical="center" textRotation="90" wrapText="1"/>
    </xf>
    <xf numFmtId="3" fontId="25" fillId="0" borderId="6" xfId="2" applyNumberFormat="1" applyFont="1" applyFill="1" applyBorder="1" applyAlignment="1" applyProtection="1">
      <alignment vertical="center"/>
    </xf>
    <xf numFmtId="164" fontId="26" fillId="0" borderId="81" xfId="2" applyFont="1" applyFill="1" applyBorder="1" applyAlignment="1" applyProtection="1">
      <alignment vertical="center" textRotation="90" wrapText="1"/>
    </xf>
    <xf numFmtId="164" fontId="26" fillId="0" borderId="28" xfId="2" applyFont="1" applyFill="1" applyBorder="1" applyAlignment="1" applyProtection="1">
      <alignment vertical="center" textRotation="90" wrapText="1"/>
    </xf>
    <xf numFmtId="164" fontId="9" fillId="0" borderId="28" xfId="2" applyFont="1" applyFill="1" applyBorder="1" applyAlignment="1" applyProtection="1">
      <alignment vertical="center"/>
    </xf>
    <xf numFmtId="1" fontId="9" fillId="0" borderId="28" xfId="2" applyNumberFormat="1" applyFont="1" applyFill="1" applyBorder="1" applyAlignment="1" applyProtection="1">
      <alignment vertical="center"/>
    </xf>
    <xf numFmtId="3" fontId="25" fillId="0" borderId="90" xfId="2" applyNumberFormat="1" applyFont="1" applyFill="1" applyBorder="1" applyAlignment="1" applyProtection="1">
      <alignment vertical="center"/>
    </xf>
    <xf numFmtId="164" fontId="65" fillId="0" borderId="0" xfId="2" applyFont="1" applyBorder="1" applyAlignment="1" applyProtection="1">
      <alignment horizontal="left"/>
    </xf>
    <xf numFmtId="164" fontId="26" fillId="0" borderId="0" xfId="2" applyFont="1" applyFill="1" applyBorder="1" applyAlignment="1" applyProtection="1">
      <alignment horizontal="left" vertical="top" wrapText="1"/>
    </xf>
    <xf numFmtId="165" fontId="25" fillId="0" borderId="0" xfId="2" applyNumberFormat="1" applyFont="1" applyFill="1" applyBorder="1" applyAlignment="1" applyProtection="1">
      <alignment horizontal="center" vertical="center"/>
      <protection locked="0"/>
    </xf>
    <xf numFmtId="164" fontId="67" fillId="0" borderId="0" xfId="2" applyFont="1" applyBorder="1" applyAlignment="1" applyProtection="1">
      <alignment horizontal="left"/>
    </xf>
    <xf numFmtId="164" fontId="0" fillId="0" borderId="102" xfId="0" applyBorder="1"/>
    <xf numFmtId="164" fontId="0" fillId="0" borderId="103" xfId="0" applyBorder="1"/>
    <xf numFmtId="164" fontId="61" fillId="0" borderId="69" xfId="0" applyFont="1" applyBorder="1" applyAlignment="1">
      <alignment horizontal="center" vertical="center"/>
    </xf>
    <xf numFmtId="164" fontId="16" fillId="0" borderId="69" xfId="2" applyFont="1" applyBorder="1" applyAlignment="1" applyProtection="1">
      <alignment horizontal="center" vertical="center"/>
    </xf>
    <xf numFmtId="164" fontId="53" fillId="0" borderId="0" xfId="0" applyFont="1" applyBorder="1" applyAlignment="1">
      <alignment vertical="top" wrapText="1"/>
    </xf>
    <xf numFmtId="164" fontId="52" fillId="0" borderId="0" xfId="0" applyFont="1" applyBorder="1"/>
    <xf numFmtId="164" fontId="52" fillId="0" borderId="22" xfId="0" applyFont="1" applyBorder="1"/>
    <xf numFmtId="164" fontId="52" fillId="0" borderId="35" xfId="0" applyFont="1" applyBorder="1"/>
    <xf numFmtId="164" fontId="52" fillId="0" borderId="79" xfId="0" applyFont="1" applyBorder="1"/>
    <xf numFmtId="164" fontId="52" fillId="0" borderId="28" xfId="0" applyFont="1" applyBorder="1"/>
    <xf numFmtId="164" fontId="53" fillId="0" borderId="35" xfId="0" applyFont="1" applyBorder="1" applyAlignment="1">
      <alignment vertical="center" wrapText="1"/>
    </xf>
    <xf numFmtId="164" fontId="52" fillId="0" borderId="50" xfId="0" applyFont="1" applyBorder="1"/>
    <xf numFmtId="164" fontId="52" fillId="0" borderId="141" xfId="0" applyFont="1" applyBorder="1"/>
    <xf numFmtId="164" fontId="52" fillId="0" borderId="6" xfId="0" applyFont="1" applyBorder="1"/>
    <xf numFmtId="164" fontId="52" fillId="0" borderId="18" xfId="0" applyFont="1" applyBorder="1"/>
    <xf numFmtId="164" fontId="52" fillId="0" borderId="19" xfId="0" applyFont="1" applyBorder="1"/>
    <xf numFmtId="164" fontId="52" fillId="0" borderId="117" xfId="0" applyFont="1" applyBorder="1"/>
    <xf numFmtId="164" fontId="52" fillId="0" borderId="50" xfId="0" quotePrefix="1" applyFont="1" applyBorder="1" applyAlignment="1">
      <alignment horizontal="center" vertical="center"/>
    </xf>
    <xf numFmtId="164" fontId="52" fillId="0" borderId="0" xfId="0" applyFont="1" applyBorder="1" applyAlignment="1">
      <alignment horizontal="left" vertical="center"/>
    </xf>
    <xf numFmtId="164" fontId="52" fillId="0" borderId="6" xfId="0" applyFont="1" applyBorder="1" applyAlignment="1">
      <alignment horizontal="left" vertical="center"/>
    </xf>
    <xf numFmtId="164" fontId="53" fillId="0" borderId="127" xfId="0" applyFont="1" applyBorder="1" applyAlignment="1">
      <alignment vertical="center" wrapText="1"/>
    </xf>
    <xf numFmtId="164" fontId="53" fillId="0" borderId="28" xfId="0" applyFont="1" applyBorder="1" applyAlignment="1">
      <alignment vertical="top" wrapText="1"/>
    </xf>
    <xf numFmtId="164" fontId="53" fillId="0" borderId="22" xfId="0" quotePrefix="1" applyFont="1" applyBorder="1" applyAlignment="1">
      <alignment horizontal="center" vertical="center"/>
    </xf>
    <xf numFmtId="164" fontId="53" fillId="0" borderId="50" xfId="0" quotePrefix="1" applyFont="1" applyBorder="1" applyAlignment="1">
      <alignment horizontal="center" vertical="center"/>
    </xf>
    <xf numFmtId="164" fontId="52" fillId="0" borderId="118" xfId="0" applyFont="1" applyBorder="1"/>
    <xf numFmtId="164" fontId="52" fillId="0" borderId="150" xfId="0" applyFont="1" applyBorder="1"/>
    <xf numFmtId="164" fontId="52" fillId="0" borderId="0" xfId="0" applyFont="1" applyBorder="1" applyAlignment="1">
      <alignment horizontal="center" vertical="center"/>
    </xf>
    <xf numFmtId="164" fontId="52" fillId="0" borderId="35" xfId="0" applyFont="1" applyBorder="1" applyAlignment="1">
      <alignment horizontal="center" vertical="center"/>
    </xf>
    <xf numFmtId="164" fontId="52" fillId="0" borderId="10" xfId="0" applyFont="1" applyBorder="1"/>
    <xf numFmtId="172" fontId="0" fillId="0" borderId="0" xfId="0" applyNumberFormat="1" applyBorder="1"/>
    <xf numFmtId="164" fontId="62" fillId="0" borderId="0" xfId="0" applyFont="1" applyAlignment="1">
      <alignment horizontal="center"/>
    </xf>
    <xf numFmtId="164" fontId="0" fillId="0" borderId="23" xfId="0" applyBorder="1"/>
    <xf numFmtId="164" fontId="53" fillId="0" borderId="27" xfId="0" quotePrefix="1" applyFont="1" applyBorder="1" applyAlignment="1">
      <alignment horizontal="center" vertical="center"/>
    </xf>
    <xf numFmtId="164" fontId="35" fillId="0" borderId="0" xfId="0" applyFont="1" applyAlignment="1">
      <alignment horizontal="center"/>
    </xf>
    <xf numFmtId="2" fontId="74" fillId="0" borderId="0" xfId="0" applyNumberFormat="1" applyFont="1"/>
    <xf numFmtId="1" fontId="0" fillId="0" borderId="0" xfId="0" applyNumberFormat="1" applyAlignment="1">
      <alignment horizontal="center"/>
    </xf>
    <xf numFmtId="1" fontId="35" fillId="0" borderId="0" xfId="0" applyNumberFormat="1" applyFont="1" applyAlignment="1">
      <alignment horizontal="center"/>
    </xf>
    <xf numFmtId="1" fontId="6" fillId="0" borderId="0" xfId="0" applyNumberFormat="1" applyFont="1" applyAlignment="1">
      <alignment horizontal="center"/>
    </xf>
    <xf numFmtId="164" fontId="0" fillId="0" borderId="0" xfId="0" applyAlignment="1">
      <alignment horizontal="center"/>
    </xf>
    <xf numFmtId="164" fontId="6" fillId="0" borderId="0" xfId="0" applyFont="1" applyAlignment="1">
      <alignment horizontal="center"/>
    </xf>
    <xf numFmtId="1" fontId="0" fillId="0" borderId="0" xfId="0" applyNumberFormat="1" applyFill="1" applyBorder="1" applyAlignment="1">
      <alignment horizontal="center"/>
    </xf>
    <xf numFmtId="3" fontId="52" fillId="0" borderId="0" xfId="0" applyNumberFormat="1" applyFont="1" applyAlignment="1">
      <alignment vertical="center"/>
    </xf>
    <xf numFmtId="164" fontId="6" fillId="0" borderId="0" xfId="0" applyFont="1" applyBorder="1" applyAlignment="1">
      <alignment horizontal="center"/>
    </xf>
    <xf numFmtId="164" fontId="6" fillId="0" borderId="6" xfId="0" applyFont="1" applyBorder="1" applyAlignment="1">
      <alignment horizontal="center"/>
    </xf>
    <xf numFmtId="164" fontId="66" fillId="0" borderId="0" xfId="0" applyFont="1" applyAlignment="1">
      <alignment vertical="center"/>
    </xf>
    <xf numFmtId="1" fontId="0" fillId="0" borderId="80" xfId="0" applyNumberFormat="1" applyBorder="1"/>
    <xf numFmtId="2" fontId="0" fillId="0" borderId="6" xfId="0" applyNumberFormat="1" applyBorder="1"/>
    <xf numFmtId="1" fontId="0" fillId="0" borderId="81" xfId="0" applyNumberFormat="1" applyBorder="1"/>
    <xf numFmtId="2" fontId="0" fillId="0" borderId="90" xfId="0" applyNumberFormat="1" applyBorder="1"/>
    <xf numFmtId="174" fontId="0" fillId="0" borderId="80" xfId="0" applyNumberFormat="1" applyBorder="1"/>
    <xf numFmtId="174" fontId="0" fillId="0" borderId="81" xfId="0" applyNumberFormat="1" applyBorder="1"/>
    <xf numFmtId="164" fontId="0" fillId="0" borderId="80" xfId="0" applyBorder="1"/>
    <xf numFmtId="2" fontId="0" fillId="0" borderId="28" xfId="0" applyNumberFormat="1" applyBorder="1"/>
    <xf numFmtId="164" fontId="0" fillId="0" borderId="16" xfId="0" applyBorder="1" applyAlignment="1">
      <alignment horizontal="right"/>
    </xf>
    <xf numFmtId="2" fontId="0" fillId="0" borderId="37" xfId="0" applyNumberFormat="1" applyBorder="1"/>
    <xf numFmtId="164" fontId="0" fillId="0" borderId="22" xfId="0" applyBorder="1" applyAlignment="1">
      <alignment horizontal="right"/>
    </xf>
    <xf numFmtId="2" fontId="0" fillId="0" borderId="38" xfId="0" applyNumberFormat="1" applyBorder="1"/>
    <xf numFmtId="164" fontId="0" fillId="0" borderId="79" xfId="0" applyBorder="1" applyAlignment="1">
      <alignment horizontal="right"/>
    </xf>
    <xf numFmtId="2" fontId="0" fillId="0" borderId="66" xfId="0" applyNumberFormat="1" applyBorder="1"/>
    <xf numFmtId="164" fontId="6" fillId="0" borderId="18" xfId="0" applyFont="1" applyBorder="1" applyAlignment="1">
      <alignment horizontal="right"/>
    </xf>
    <xf numFmtId="2" fontId="6" fillId="0" borderId="34" xfId="0" applyNumberFormat="1" applyFont="1" applyBorder="1"/>
    <xf numFmtId="4" fontId="0" fillId="0" borderId="0" xfId="0" applyNumberFormat="1"/>
    <xf numFmtId="1" fontId="0" fillId="0" borderId="0" xfId="0" applyNumberFormat="1" applyAlignment="1">
      <alignment horizontal="center"/>
    </xf>
    <xf numFmtId="0" fontId="53" fillId="0" borderId="0" xfId="0" applyNumberFormat="1" applyFont="1" applyBorder="1" applyAlignment="1">
      <alignment vertical="top" wrapText="1"/>
    </xf>
    <xf numFmtId="1" fontId="53" fillId="0" borderId="0" xfId="0" applyNumberFormat="1" applyFont="1" applyBorder="1" applyAlignment="1">
      <alignment vertical="top" wrapText="1"/>
    </xf>
    <xf numFmtId="1" fontId="53" fillId="0" borderId="0" xfId="0" applyNumberFormat="1" applyFont="1"/>
    <xf numFmtId="164" fontId="16" fillId="0" borderId="87" xfId="2" applyFont="1" applyBorder="1" applyAlignment="1" applyProtection="1">
      <alignment horizontal="center" vertical="center"/>
    </xf>
    <xf numFmtId="1" fontId="0" fillId="0" borderId="0" xfId="0" applyNumberFormat="1" applyBorder="1"/>
    <xf numFmtId="1" fontId="0" fillId="0" borderId="0" xfId="0" applyNumberFormat="1" applyAlignment="1">
      <alignment horizontal="center"/>
    </xf>
    <xf numFmtId="164" fontId="65" fillId="0" borderId="0" xfId="2" applyFont="1" applyBorder="1" applyAlignment="1" applyProtection="1">
      <alignment horizontal="left" vertical="center"/>
    </xf>
    <xf numFmtId="1" fontId="75" fillId="0" borderId="0" xfId="0" applyNumberFormat="1" applyFont="1" applyAlignment="1">
      <alignment horizontal="center"/>
    </xf>
    <xf numFmtId="165" fontId="52" fillId="0" borderId="0" xfId="0" applyNumberFormat="1" applyFont="1" applyAlignment="1">
      <alignment vertical="center"/>
    </xf>
    <xf numFmtId="3" fontId="0" fillId="0" borderId="0" xfId="0" applyNumberFormat="1" applyAlignment="1">
      <alignment vertical="center"/>
    </xf>
    <xf numFmtId="2" fontId="0" fillId="0" borderId="0" xfId="0" applyNumberFormat="1" applyAlignment="1">
      <alignment vertical="center"/>
    </xf>
    <xf numFmtId="0" fontId="9" fillId="0" borderId="0" xfId="2" applyNumberFormat="1" applyFont="1" applyBorder="1" applyAlignment="1" applyProtection="1">
      <alignment horizontal="right"/>
    </xf>
    <xf numFmtId="0" fontId="9" fillId="0" borderId="0" xfId="2" applyNumberFormat="1" applyFont="1" applyBorder="1" applyAlignment="1" applyProtection="1">
      <alignment horizontal="center"/>
    </xf>
    <xf numFmtId="164" fontId="6" fillId="0" borderId="0" xfId="0" applyFont="1" applyBorder="1" applyAlignment="1">
      <alignment horizontal="center"/>
    </xf>
    <xf numFmtId="1" fontId="13" fillId="0" borderId="0" xfId="2" applyNumberFormat="1" applyFont="1" applyBorder="1" applyAlignment="1" applyProtection="1">
      <alignment horizontal="left"/>
    </xf>
    <xf numFmtId="1" fontId="9" fillId="0" borderId="0" xfId="2" applyNumberFormat="1" applyFont="1" applyBorder="1" applyAlignment="1" applyProtection="1"/>
    <xf numFmtId="164" fontId="4" fillId="0" borderId="80" xfId="2" applyFont="1" applyBorder="1" applyAlignment="1" applyProtection="1">
      <alignment horizontal="center"/>
    </xf>
    <xf numFmtId="164" fontId="4" fillId="0" borderId="0" xfId="2" applyFont="1" applyBorder="1" applyAlignment="1" applyProtection="1">
      <alignment horizontal="center"/>
    </xf>
    <xf numFmtId="164" fontId="4" fillId="0" borderId="6" xfId="2" applyFont="1" applyBorder="1" applyAlignment="1" applyProtection="1">
      <alignment horizontal="center"/>
    </xf>
    <xf numFmtId="1" fontId="0" fillId="0" borderId="0" xfId="0" applyNumberFormat="1" applyAlignment="1">
      <alignment horizontal="center"/>
    </xf>
    <xf numFmtId="1" fontId="41" fillId="0" borderId="0" xfId="0" applyNumberFormat="1" applyFont="1" applyBorder="1" applyAlignment="1">
      <alignment vertical="top" wrapText="1"/>
    </xf>
    <xf numFmtId="9" fontId="6" fillId="0" borderId="0" xfId="0" quotePrefix="1" applyNumberFormat="1" applyFont="1" applyBorder="1" applyAlignment="1">
      <alignment horizontal="center"/>
    </xf>
    <xf numFmtId="165" fontId="0" fillId="0" borderId="0" xfId="0" applyNumberFormat="1" applyBorder="1"/>
    <xf numFmtId="3" fontId="0" fillId="0" borderId="0" xfId="0" applyNumberFormat="1" applyBorder="1"/>
    <xf numFmtId="1" fontId="31" fillId="0" borderId="0" xfId="0" applyNumberFormat="1" applyFont="1" applyBorder="1" applyAlignment="1">
      <alignment horizontal="center"/>
    </xf>
    <xf numFmtId="1" fontId="32" fillId="0" borderId="0" xfId="0" applyNumberFormat="1" applyFont="1" applyBorder="1" applyAlignment="1">
      <alignment horizontal="center"/>
    </xf>
    <xf numFmtId="1" fontId="33" fillId="0" borderId="0" xfId="0" applyNumberFormat="1" applyFont="1" applyBorder="1" applyAlignment="1">
      <alignment horizontal="center"/>
    </xf>
    <xf numFmtId="1" fontId="34" fillId="0" borderId="0" xfId="0" applyNumberFormat="1" applyFont="1" applyBorder="1" applyAlignment="1">
      <alignment horizontal="center"/>
    </xf>
    <xf numFmtId="166" fontId="0" fillId="0" borderId="0" xfId="0" applyNumberFormat="1" applyBorder="1"/>
    <xf numFmtId="1" fontId="36" fillId="0" borderId="0" xfId="0" applyNumberFormat="1" applyFont="1" applyBorder="1" applyAlignment="1">
      <alignment horizontal="center"/>
    </xf>
    <xf numFmtId="1" fontId="37" fillId="0" borderId="0" xfId="0" applyNumberFormat="1" applyFont="1" applyBorder="1" applyAlignment="1">
      <alignment horizontal="center"/>
    </xf>
    <xf numFmtId="1" fontId="39" fillId="0" borderId="0" xfId="0" applyNumberFormat="1" applyFont="1" applyBorder="1" applyAlignment="1">
      <alignment horizontal="center"/>
    </xf>
    <xf numFmtId="1" fontId="38" fillId="0" borderId="0" xfId="0" applyNumberFormat="1" applyFont="1" applyBorder="1" applyAlignment="1">
      <alignment horizontal="center"/>
    </xf>
    <xf numFmtId="164" fontId="6" fillId="0" borderId="0" xfId="0" applyFont="1" applyAlignment="1"/>
    <xf numFmtId="1" fontId="42" fillId="0" borderId="0" xfId="0" applyNumberFormat="1" applyFont="1" applyBorder="1" applyAlignment="1">
      <alignment horizontal="center"/>
    </xf>
    <xf numFmtId="164" fontId="6" fillId="0" borderId="0" xfId="0" applyFont="1" applyBorder="1" applyAlignment="1"/>
    <xf numFmtId="1" fontId="44" fillId="0" borderId="0" xfId="0" applyNumberFormat="1" applyFont="1" applyBorder="1" applyAlignment="1">
      <alignment horizontal="center"/>
    </xf>
    <xf numFmtId="1" fontId="0" fillId="0" borderId="0" xfId="0" applyNumberFormat="1" applyAlignment="1">
      <alignment horizontal="center"/>
    </xf>
    <xf numFmtId="164" fontId="6" fillId="0" borderId="0" xfId="0" applyFont="1" applyBorder="1" applyAlignment="1">
      <alignment horizontal="center"/>
    </xf>
    <xf numFmtId="164" fontId="9" fillId="0" borderId="35" xfId="2" applyFont="1" applyFill="1" applyBorder="1" applyAlignment="1" applyProtection="1">
      <alignment horizontal="center"/>
    </xf>
    <xf numFmtId="164" fontId="0" fillId="0" borderId="35" xfId="0" applyFill="1" applyBorder="1"/>
    <xf numFmtId="164" fontId="15" fillId="0" borderId="35" xfId="2" applyFont="1" applyFill="1" applyBorder="1" applyAlignment="1" applyProtection="1"/>
    <xf numFmtId="1" fontId="15" fillId="0" borderId="35" xfId="2" applyNumberFormat="1" applyFont="1" applyFill="1" applyBorder="1" applyAlignment="1" applyProtection="1"/>
    <xf numFmtId="165" fontId="25" fillId="0" borderId="35" xfId="2" quotePrefix="1" applyNumberFormat="1" applyFont="1" applyFill="1" applyBorder="1" applyAlignment="1" applyProtection="1">
      <alignment vertical="center" textRotation="60" wrapText="1"/>
    </xf>
    <xf numFmtId="164" fontId="15" fillId="0" borderId="28" xfId="2" applyFont="1" applyFill="1" applyBorder="1" applyAlignment="1" applyProtection="1"/>
    <xf numFmtId="164" fontId="13" fillId="0" borderId="35" xfId="2" applyFont="1" applyBorder="1" applyAlignment="1" applyProtection="1">
      <alignment horizontal="right"/>
      <protection hidden="1"/>
    </xf>
    <xf numFmtId="164" fontId="13" fillId="0" borderId="35" xfId="2" applyFont="1" applyBorder="1" applyAlignment="1" applyProtection="1">
      <alignment horizontal="left"/>
      <protection hidden="1"/>
    </xf>
    <xf numFmtId="165" fontId="0" fillId="0" borderId="87" xfId="0" applyNumberFormat="1" applyBorder="1" applyAlignment="1">
      <alignment horizontal="center"/>
    </xf>
    <xf numFmtId="3" fontId="0" fillId="0" borderId="87" xfId="0" applyNumberFormat="1" applyBorder="1"/>
    <xf numFmtId="164" fontId="21" fillId="0" borderId="0" xfId="2" applyFont="1" applyAlignment="1"/>
    <xf numFmtId="164" fontId="24" fillId="0" borderId="0" xfId="2" applyFont="1" applyAlignment="1"/>
    <xf numFmtId="9" fontId="22" fillId="0" borderId="0" xfId="2" applyNumberFormat="1" applyFont="1" applyAlignment="1"/>
    <xf numFmtId="164" fontId="22" fillId="0" borderId="0" xfId="2" applyFont="1" applyAlignment="1"/>
    <xf numFmtId="169" fontId="23" fillId="0" borderId="0" xfId="2" applyNumberFormat="1" applyFont="1" applyAlignment="1"/>
    <xf numFmtId="170" fontId="23" fillId="0" borderId="0" xfId="2" applyNumberFormat="1" applyFont="1" applyAlignment="1"/>
    <xf numFmtId="3" fontId="53" fillId="0" borderId="0" xfId="0" applyNumberFormat="1" applyFont="1" applyFill="1" applyBorder="1" applyAlignment="1">
      <alignment vertical="top"/>
    </xf>
    <xf numFmtId="164" fontId="26" fillId="0" borderId="0" xfId="2" applyFont="1" applyFill="1" applyBorder="1" applyAlignment="1"/>
    <xf numFmtId="164" fontId="6" fillId="0" borderId="0" xfId="0" applyFont="1" applyFill="1" applyBorder="1" applyAlignment="1"/>
    <xf numFmtId="164" fontId="5" fillId="0" borderId="0" xfId="2" applyFont="1" applyFill="1" applyBorder="1" applyAlignment="1">
      <alignment horizontal="center"/>
    </xf>
    <xf numFmtId="164" fontId="45" fillId="0" borderId="0" xfId="0" applyFont="1" applyFill="1" applyBorder="1" applyAlignment="1">
      <alignment horizontal="center"/>
    </xf>
    <xf numFmtId="164" fontId="0" fillId="0" borderId="0" xfId="0" applyFill="1" applyBorder="1" applyAlignment="1"/>
    <xf numFmtId="164" fontId="6" fillId="0" borderId="0" xfId="0" applyFont="1" applyFill="1" applyBorder="1" applyAlignment="1">
      <alignment horizontal="center"/>
    </xf>
    <xf numFmtId="164" fontId="40" fillId="0" borderId="0" xfId="0" applyFont="1" applyFill="1" applyBorder="1" applyAlignment="1">
      <alignment horizontal="center"/>
    </xf>
    <xf numFmtId="165" fontId="0" fillId="0" borderId="0" xfId="0" applyNumberFormat="1" applyFill="1" applyBorder="1"/>
    <xf numFmtId="3" fontId="0" fillId="0" borderId="0" xfId="0" applyNumberFormat="1" applyFill="1" applyBorder="1"/>
    <xf numFmtId="2" fontId="0" fillId="0" borderId="0" xfId="0" applyNumberFormat="1" applyFill="1" applyBorder="1"/>
    <xf numFmtId="2" fontId="45" fillId="0" borderId="0" xfId="0" applyNumberFormat="1" applyFont="1" applyFill="1" applyBorder="1"/>
    <xf numFmtId="1" fontId="40" fillId="0" borderId="0" xfId="0" applyNumberFormat="1" applyFont="1" applyFill="1" applyBorder="1" applyAlignment="1">
      <alignment horizontal="center"/>
    </xf>
    <xf numFmtId="1" fontId="7" fillId="0" borderId="0" xfId="2" applyNumberFormat="1" applyFill="1" applyBorder="1" applyAlignment="1">
      <alignment horizontal="center"/>
    </xf>
    <xf numFmtId="3" fontId="7" fillId="0" borderId="0" xfId="2" applyNumberFormat="1" applyFont="1" applyFill="1" applyBorder="1" applyAlignment="1">
      <alignment horizontal="center"/>
    </xf>
    <xf numFmtId="1" fontId="0" fillId="0" borderId="0" xfId="0" applyNumberFormat="1" applyFill="1" applyBorder="1"/>
    <xf numFmtId="3" fontId="35" fillId="0" borderId="0" xfId="0" applyNumberFormat="1" applyFont="1" applyFill="1" applyBorder="1"/>
    <xf numFmtId="165" fontId="0" fillId="0" borderId="0" xfId="0" applyNumberFormat="1" applyFill="1" applyBorder="1" applyAlignment="1">
      <alignment horizontal="center"/>
    </xf>
    <xf numFmtId="164" fontId="35" fillId="0" borderId="0" xfId="0" applyFont="1" applyFill="1" applyBorder="1" applyAlignment="1"/>
    <xf numFmtId="164" fontId="15" fillId="0" borderId="0" xfId="2" applyFont="1" applyFill="1" applyBorder="1" applyAlignment="1" applyProtection="1">
      <alignment horizontal="center"/>
    </xf>
    <xf numFmtId="164" fontId="52" fillId="0" borderId="0" xfId="0" applyFont="1" applyFill="1" applyBorder="1" applyAlignment="1">
      <alignment horizontal="center" vertical="top" wrapText="1"/>
    </xf>
    <xf numFmtId="164" fontId="9" fillId="0" borderId="0" xfId="2" applyFont="1" applyFill="1" applyBorder="1" applyAlignment="1" applyProtection="1"/>
    <xf numFmtId="164" fontId="41" fillId="0" borderId="0" xfId="0" applyFont="1" applyFill="1" applyBorder="1" applyAlignment="1">
      <alignment vertical="top" wrapText="1"/>
    </xf>
    <xf numFmtId="1" fontId="51" fillId="0" borderId="0" xfId="0" applyNumberFormat="1" applyFont="1" applyFill="1" applyBorder="1" applyAlignment="1">
      <alignment horizontal="center" vertical="center"/>
    </xf>
    <xf numFmtId="1" fontId="51" fillId="0" borderId="0" xfId="0" applyNumberFormat="1" applyFont="1" applyFill="1" applyBorder="1" applyAlignment="1">
      <alignment vertical="center"/>
    </xf>
    <xf numFmtId="3" fontId="52" fillId="0" borderId="0" xfId="0" applyNumberFormat="1" applyFont="1" applyFill="1" applyBorder="1" applyAlignment="1">
      <alignment vertical="top"/>
    </xf>
    <xf numFmtId="1" fontId="0" fillId="0" borderId="0" xfId="0" applyNumberFormat="1" applyFill="1" applyBorder="1" applyAlignment="1">
      <alignment vertical="center"/>
    </xf>
    <xf numFmtId="164" fontId="0" fillId="0" borderId="0" xfId="0" applyFill="1" applyBorder="1" applyAlignment="1">
      <alignment vertical="center"/>
    </xf>
    <xf numFmtId="2" fontId="9" fillId="0" borderId="72" xfId="4" applyNumberFormat="1" applyFont="1" applyFill="1" applyBorder="1" applyAlignment="1" applyProtection="1">
      <alignment horizontal="center"/>
      <protection locked="0"/>
    </xf>
    <xf numFmtId="2" fontId="14" fillId="0" borderId="72" xfId="2" applyNumberFormat="1" applyFont="1" applyFill="1" applyBorder="1" applyAlignment="1" applyProtection="1">
      <alignment horizontal="center"/>
      <protection locked="0"/>
    </xf>
    <xf numFmtId="1" fontId="9" fillId="0" borderId="159" xfId="4" applyNumberFormat="1" applyFont="1" applyBorder="1" applyAlignment="1" applyProtection="1">
      <alignment horizontal="center"/>
      <protection locked="0"/>
    </xf>
    <xf numFmtId="2" fontId="14" fillId="0" borderId="159" xfId="2" applyNumberFormat="1" applyFont="1" applyBorder="1" applyAlignment="1" applyProtection="1">
      <alignment horizontal="center"/>
      <protection locked="0"/>
    </xf>
    <xf numFmtId="1" fontId="9" fillId="0" borderId="0" xfId="4" applyNumberFormat="1" applyFont="1" applyBorder="1" applyAlignment="1" applyProtection="1">
      <alignment horizontal="center"/>
      <protection locked="0"/>
    </xf>
    <xf numFmtId="2" fontId="14" fillId="0" borderId="0" xfId="2" applyNumberFormat="1" applyFont="1" applyBorder="1" applyAlignment="1" applyProtection="1">
      <alignment horizontal="center"/>
      <protection locked="0"/>
    </xf>
    <xf numFmtId="3" fontId="0" fillId="0" borderId="160" xfId="0" applyNumberFormat="1" applyBorder="1"/>
    <xf numFmtId="164" fontId="4" fillId="0" borderId="80" xfId="2" applyFont="1" applyBorder="1" applyAlignment="1" applyProtection="1">
      <alignment horizontal="center"/>
    </xf>
    <xf numFmtId="164" fontId="4" fillId="0" borderId="0" xfId="2" applyFont="1" applyBorder="1" applyAlignment="1" applyProtection="1">
      <alignment horizontal="center"/>
    </xf>
    <xf numFmtId="164" fontId="4" fillId="0" borderId="6" xfId="2" applyFont="1" applyBorder="1" applyAlignment="1" applyProtection="1">
      <alignment horizontal="center"/>
    </xf>
    <xf numFmtId="164" fontId="0" fillId="0" borderId="102" xfId="0" applyBorder="1"/>
    <xf numFmtId="164" fontId="0" fillId="0" borderId="19" xfId="0" applyBorder="1"/>
    <xf numFmtId="164" fontId="52" fillId="0" borderId="0" xfId="0" applyFont="1" applyBorder="1" applyAlignment="1">
      <alignment horizontal="left" vertical="top"/>
    </xf>
    <xf numFmtId="166" fontId="0" fillId="0" borderId="0" xfId="0" applyNumberFormat="1" applyAlignment="1">
      <alignment horizontal="center"/>
    </xf>
    <xf numFmtId="1" fontId="0" fillId="0" borderId="0" xfId="0" applyNumberFormat="1" applyAlignment="1">
      <alignment horizontal="center"/>
    </xf>
    <xf numFmtId="164" fontId="16" fillId="0" borderId="0" xfId="2" applyFont="1" applyAlignment="1">
      <alignment horizontal="center"/>
    </xf>
    <xf numFmtId="164" fontId="6" fillId="0" borderId="0" xfId="0" applyFont="1" applyBorder="1" applyAlignment="1">
      <alignment horizontal="center"/>
    </xf>
    <xf numFmtId="2" fontId="0" fillId="0" borderId="0" xfId="0" applyNumberFormat="1" applyFill="1" applyBorder="1" applyAlignment="1">
      <alignment horizontal="center"/>
    </xf>
    <xf numFmtId="2" fontId="0" fillId="0" borderId="0" xfId="0" applyNumberFormat="1" applyFill="1" applyBorder="1" applyAlignment="1">
      <alignment horizontal="center"/>
    </xf>
    <xf numFmtId="2" fontId="45" fillId="0" borderId="0" xfId="0" applyNumberFormat="1" applyFont="1" applyFill="1" applyBorder="1" applyAlignment="1">
      <alignment horizontal="center"/>
    </xf>
    <xf numFmtId="3" fontId="0" fillId="0" borderId="0" xfId="0" applyNumberFormat="1" applyFill="1" applyBorder="1" applyAlignment="1">
      <alignment horizontal="center"/>
    </xf>
    <xf numFmtId="2" fontId="0" fillId="0" borderId="0" xfId="0" quotePrefix="1" applyNumberFormat="1" applyFill="1" applyBorder="1" applyAlignment="1">
      <alignment horizontal="center"/>
    </xf>
    <xf numFmtId="1" fontId="45" fillId="0" borderId="0" xfId="0" applyNumberFormat="1" applyFont="1" applyFill="1" applyBorder="1" applyAlignment="1">
      <alignment horizontal="center"/>
    </xf>
    <xf numFmtId="164" fontId="45" fillId="0" borderId="0" xfId="0" applyFont="1" applyBorder="1" applyAlignment="1">
      <alignment horizontal="center"/>
    </xf>
    <xf numFmtId="164" fontId="0" fillId="0" borderId="0" xfId="0" applyBorder="1" applyAlignment="1"/>
    <xf numFmtId="164" fontId="40" fillId="0" borderId="0" xfId="0" applyFont="1" applyBorder="1" applyAlignment="1">
      <alignment horizontal="center"/>
    </xf>
    <xf numFmtId="2" fontId="45" fillId="0" borderId="0" xfId="0" applyNumberFormat="1" applyFont="1" applyBorder="1"/>
    <xf numFmtId="1" fontId="40" fillId="0" borderId="0" xfId="0" applyNumberFormat="1" applyFont="1" applyBorder="1" applyAlignment="1">
      <alignment horizontal="center"/>
    </xf>
    <xf numFmtId="1" fontId="7" fillId="0" borderId="0" xfId="2" applyNumberFormat="1" applyBorder="1" applyAlignment="1">
      <alignment horizontal="center"/>
    </xf>
    <xf numFmtId="3" fontId="7" fillId="0" borderId="0" xfId="2" applyNumberFormat="1" applyFont="1" applyBorder="1" applyAlignment="1">
      <alignment horizontal="center"/>
    </xf>
    <xf numFmtId="3" fontId="35" fillId="0" borderId="0" xfId="0" applyNumberFormat="1" applyFont="1" applyBorder="1"/>
    <xf numFmtId="164" fontId="26" fillId="0" borderId="0" xfId="2" applyFont="1" applyBorder="1" applyAlignment="1"/>
    <xf numFmtId="1" fontId="27" fillId="0" borderId="161" xfId="4" applyNumberFormat="1" applyFont="1" applyBorder="1" applyAlignment="1" applyProtection="1">
      <alignment horizontal="center"/>
      <protection locked="0"/>
    </xf>
    <xf numFmtId="1" fontId="27" fillId="0" borderId="0" xfId="4" applyNumberFormat="1" applyFont="1" applyBorder="1" applyAlignment="1" applyProtection="1">
      <alignment horizontal="center"/>
      <protection locked="0"/>
    </xf>
    <xf numFmtId="164" fontId="0" fillId="0" borderId="0" xfId="0" applyFill="1"/>
    <xf numFmtId="1" fontId="0" fillId="0" borderId="0" xfId="0" applyNumberFormat="1" applyFill="1" applyAlignment="1">
      <alignment vertical="center"/>
    </xf>
    <xf numFmtId="164" fontId="13" fillId="0" borderId="0" xfId="2" applyFont="1" applyFill="1" applyBorder="1" applyAlignment="1" applyProtection="1">
      <alignment horizontal="left"/>
    </xf>
    <xf numFmtId="1" fontId="51" fillId="0" borderId="0" xfId="0" applyNumberFormat="1" applyFont="1" applyFill="1" applyAlignment="1">
      <alignment vertical="center"/>
    </xf>
    <xf numFmtId="164" fontId="0" fillId="0" borderId="0" xfId="0" applyFill="1" applyAlignment="1">
      <alignment vertical="center"/>
    </xf>
    <xf numFmtId="1" fontId="0" fillId="0" borderId="0" xfId="0" applyNumberFormat="1" applyAlignment="1">
      <alignment horizontal="center" vertical="center"/>
    </xf>
    <xf numFmtId="1" fontId="0" fillId="0" borderId="0" xfId="0" applyNumberFormat="1" applyAlignment="1">
      <alignment horizontal="center"/>
    </xf>
    <xf numFmtId="164" fontId="50" fillId="0" borderId="0" xfId="1" applyFont="1" applyBorder="1" applyAlignment="1" applyProtection="1">
      <protection hidden="1"/>
    </xf>
    <xf numFmtId="164" fontId="4" fillId="0" borderId="0" xfId="1" applyFont="1" applyBorder="1" applyAlignment="1" applyProtection="1">
      <protection hidden="1"/>
    </xf>
    <xf numFmtId="164" fontId="15" fillId="0" borderId="0" xfId="2" applyFont="1" applyFill="1" applyBorder="1" applyAlignment="1" applyProtection="1">
      <alignment vertical="top"/>
    </xf>
    <xf numFmtId="164" fontId="13" fillId="0" borderId="0" xfId="2" applyFont="1" applyBorder="1" applyAlignment="1" applyProtection="1">
      <alignment horizontal="right" vertical="center"/>
      <protection hidden="1"/>
    </xf>
    <xf numFmtId="164" fontId="13" fillId="0" borderId="0" xfId="2" applyFont="1" applyBorder="1" applyAlignment="1" applyProtection="1">
      <alignment horizontal="left" vertical="center"/>
      <protection hidden="1"/>
    </xf>
    <xf numFmtId="164" fontId="0" fillId="0" borderId="0" xfId="0" applyBorder="1" applyAlignment="1">
      <alignment horizontal="center"/>
    </xf>
    <xf numFmtId="164" fontId="34" fillId="0" borderId="0" xfId="0" quotePrefix="1" applyFont="1" applyBorder="1" applyAlignment="1">
      <alignment horizontal="center" vertical="center"/>
    </xf>
    <xf numFmtId="164" fontId="34" fillId="0" borderId="0" xfId="0" applyFont="1" applyBorder="1" applyAlignment="1">
      <alignment horizontal="center" vertical="center"/>
    </xf>
    <xf numFmtId="3" fontId="40" fillId="0" borderId="0" xfId="0" applyNumberFormat="1" applyFont="1" applyBorder="1" applyAlignment="1">
      <alignment horizontal="center"/>
    </xf>
    <xf numFmtId="3" fontId="0" fillId="0" borderId="87" xfId="0" applyNumberFormat="1" applyBorder="1" applyAlignment="1">
      <alignment horizontal="center"/>
    </xf>
    <xf numFmtId="165" fontId="0" fillId="0" borderId="102" xfId="0" applyNumberFormat="1" applyBorder="1" applyAlignment="1">
      <alignment horizontal="center"/>
    </xf>
    <xf numFmtId="3" fontId="0" fillId="0" borderId="102" xfId="0" applyNumberFormat="1" applyBorder="1" applyAlignment="1">
      <alignment horizontal="center"/>
    </xf>
    <xf numFmtId="165" fontId="0" fillId="0" borderId="0" xfId="0" applyNumberFormat="1" applyBorder="1" applyAlignment="1">
      <alignment horizontal="center"/>
    </xf>
    <xf numFmtId="3" fontId="0" fillId="0" borderId="0" xfId="0" applyNumberFormat="1" applyBorder="1" applyAlignment="1">
      <alignment horizontal="center"/>
    </xf>
    <xf numFmtId="2" fontId="0" fillId="0" borderId="0" xfId="0" applyNumberFormat="1" applyFill="1" applyBorder="1" applyAlignment="1"/>
    <xf numFmtId="164" fontId="0" fillId="0" borderId="0" xfId="0" quotePrefix="1" applyAlignment="1">
      <alignment horizontal="center"/>
    </xf>
    <xf numFmtId="164" fontId="52" fillId="0" borderId="22" xfId="0" quotePrefix="1" applyFont="1" applyBorder="1" applyAlignment="1">
      <alignment horizontal="center" vertical="center"/>
    </xf>
    <xf numFmtId="164" fontId="52" fillId="7" borderId="170" xfId="0" applyFont="1" applyFill="1" applyBorder="1"/>
    <xf numFmtId="164" fontId="52" fillId="7" borderId="48" xfId="0" applyFont="1" applyFill="1" applyBorder="1"/>
    <xf numFmtId="164" fontId="52" fillId="7" borderId="55" xfId="0" applyFont="1" applyFill="1" applyBorder="1"/>
    <xf numFmtId="164" fontId="53" fillId="0" borderId="0" xfId="0" applyFont="1" applyBorder="1" applyAlignment="1">
      <alignment vertical="center" wrapText="1"/>
    </xf>
    <xf numFmtId="164" fontId="53" fillId="0" borderId="1" xfId="0" applyFont="1" applyBorder="1" applyAlignment="1">
      <alignment vertical="center" wrapText="1"/>
    </xf>
    <xf numFmtId="164" fontId="52" fillId="0" borderId="0" xfId="0" quotePrefix="1" applyFont="1" applyBorder="1" applyAlignment="1">
      <alignment vertical="top"/>
    </xf>
    <xf numFmtId="164" fontId="52" fillId="0" borderId="10" xfId="0" quotePrefix="1" applyFont="1" applyBorder="1" applyAlignment="1">
      <alignment vertical="top"/>
    </xf>
    <xf numFmtId="164" fontId="52" fillId="0" borderId="19" xfId="0" quotePrefix="1" applyFont="1" applyBorder="1" applyAlignment="1">
      <alignment vertical="top"/>
    </xf>
    <xf numFmtId="164" fontId="52" fillId="0" borderId="35" xfId="0" applyFont="1" applyBorder="1" applyAlignment="1">
      <alignment vertical="top"/>
    </xf>
    <xf numFmtId="164" fontId="52" fillId="0" borderId="102" xfId="0" applyFont="1" applyBorder="1" applyAlignment="1">
      <alignment vertical="top"/>
    </xf>
    <xf numFmtId="2" fontId="34" fillId="0" borderId="0" xfId="0" quotePrefix="1" applyNumberFormat="1" applyFont="1" applyFill="1" applyBorder="1" applyAlignment="1">
      <alignment horizontal="center"/>
    </xf>
    <xf numFmtId="1" fontId="34" fillId="0" borderId="0" xfId="0" applyNumberFormat="1" applyFont="1" applyFill="1" applyBorder="1" applyAlignment="1">
      <alignment horizontal="center"/>
    </xf>
    <xf numFmtId="2" fontId="40" fillId="0" borderId="0" xfId="0" applyNumberFormat="1" applyFont="1" applyFill="1" applyBorder="1" applyAlignment="1">
      <alignment horizontal="center"/>
    </xf>
    <xf numFmtId="2" fontId="34" fillId="0" borderId="0" xfId="0" applyNumberFormat="1" applyFont="1"/>
    <xf numFmtId="164" fontId="68" fillId="0" borderId="0" xfId="0" applyFont="1" applyBorder="1" applyAlignment="1">
      <alignment horizontal="right"/>
    </xf>
    <xf numFmtId="164" fontId="63" fillId="0" borderId="0" xfId="0" applyFont="1" applyBorder="1"/>
    <xf numFmtId="164" fontId="53" fillId="0" borderId="0" xfId="0" applyFont="1" applyBorder="1" applyAlignment="1">
      <alignment vertical="top"/>
    </xf>
    <xf numFmtId="0" fontId="16" fillId="0" borderId="87" xfId="2" applyNumberFormat="1" applyFont="1" applyBorder="1" applyAlignment="1" applyProtection="1">
      <alignment horizontal="center" vertical="center"/>
    </xf>
    <xf numFmtId="164" fontId="80" fillId="2" borderId="69" xfId="0" applyFont="1" applyFill="1" applyBorder="1" applyAlignment="1" applyProtection="1">
      <alignment horizontal="center" vertical="center"/>
      <protection locked="0"/>
    </xf>
    <xf numFmtId="164" fontId="16" fillId="0" borderId="69" xfId="0" applyFont="1" applyFill="1" applyBorder="1" applyAlignment="1" applyProtection="1">
      <alignment horizontal="center" vertical="center"/>
    </xf>
    <xf numFmtId="3" fontId="82" fillId="2" borderId="88" xfId="2" applyNumberFormat="1" applyFont="1" applyFill="1" applyBorder="1" applyAlignment="1" applyProtection="1">
      <alignment horizontal="center" vertical="center"/>
      <protection locked="0"/>
    </xf>
    <xf numFmtId="1" fontId="71" fillId="2" borderId="25" xfId="2" applyNumberFormat="1" applyFont="1" applyFill="1" applyBorder="1" applyAlignment="1" applyProtection="1">
      <alignment horizontal="center"/>
      <protection locked="0"/>
    </xf>
    <xf numFmtId="1" fontId="71" fillId="2" borderId="10" xfId="2" applyNumberFormat="1" applyFont="1" applyFill="1" applyBorder="1" applyAlignment="1" applyProtection="1">
      <alignment horizontal="center"/>
      <protection locked="0"/>
    </xf>
    <xf numFmtId="164" fontId="80" fillId="2" borderId="69" xfId="2" applyFont="1" applyFill="1" applyBorder="1" applyAlignment="1" applyProtection="1">
      <alignment horizontal="center" vertical="center"/>
      <protection locked="0"/>
    </xf>
    <xf numFmtId="164" fontId="35" fillId="0" borderId="0" xfId="0" applyFont="1" applyBorder="1" applyAlignment="1">
      <alignment horizontal="center"/>
    </xf>
    <xf numFmtId="1" fontId="35" fillId="0" borderId="0" xfId="0" applyNumberFormat="1" applyFont="1" applyBorder="1"/>
    <xf numFmtId="1" fontId="35" fillId="0" borderId="0" xfId="0" applyNumberFormat="1" applyFont="1" applyBorder="1" applyAlignment="1">
      <alignment horizontal="center"/>
    </xf>
    <xf numFmtId="2" fontId="74" fillId="0" borderId="0" xfId="0" applyNumberFormat="1" applyFont="1" applyBorder="1"/>
    <xf numFmtId="1" fontId="75" fillId="0" borderId="0" xfId="0" applyNumberFormat="1" applyFont="1" applyBorder="1" applyAlignment="1">
      <alignment horizontal="center"/>
    </xf>
    <xf numFmtId="164" fontId="0" fillId="0" borderId="0" xfId="0" applyFont="1" applyFill="1" applyBorder="1" applyAlignment="1">
      <alignment vertical="center"/>
    </xf>
    <xf numFmtId="3" fontId="9" fillId="0" borderId="0" xfId="2" applyNumberFormat="1" applyFont="1" applyFill="1" applyBorder="1" applyAlignment="1" applyProtection="1">
      <alignment vertical="top"/>
    </xf>
    <xf numFmtId="164" fontId="52" fillId="0" borderId="70" xfId="0" applyFont="1" applyBorder="1" applyAlignment="1">
      <alignment horizontal="center" vertical="center" wrapText="1"/>
    </xf>
    <xf numFmtId="164" fontId="52" fillId="0" borderId="76" xfId="0" applyFont="1" applyBorder="1" applyAlignment="1">
      <alignment horizontal="center" vertical="center" wrapText="1"/>
    </xf>
    <xf numFmtId="164" fontId="52" fillId="0" borderId="39" xfId="0" applyFont="1" applyBorder="1" applyAlignment="1">
      <alignment horizontal="center" vertical="center" wrapText="1"/>
    </xf>
    <xf numFmtId="164" fontId="52" fillId="0" borderId="31" xfId="0" applyFont="1" applyBorder="1" applyAlignment="1">
      <alignment horizontal="center" vertical="center" wrapText="1"/>
    </xf>
    <xf numFmtId="3" fontId="53" fillId="2" borderId="3" xfId="0" applyNumberFormat="1" applyFont="1" applyFill="1" applyBorder="1" applyAlignment="1">
      <alignment vertical="center"/>
    </xf>
    <xf numFmtId="4" fontId="14" fillId="2" borderId="77" xfId="2" applyNumberFormat="1" applyFont="1" applyFill="1" applyBorder="1" applyAlignment="1" applyProtection="1">
      <alignment vertical="center"/>
    </xf>
    <xf numFmtId="164" fontId="82" fillId="0" borderId="0" xfId="0" applyFont="1" applyAlignment="1">
      <alignment horizontal="right"/>
    </xf>
    <xf numFmtId="165" fontId="0" fillId="8" borderId="160" xfId="0" applyNumberFormat="1" applyFill="1" applyBorder="1"/>
    <xf numFmtId="3" fontId="0" fillId="8" borderId="160" xfId="0" applyNumberFormat="1" applyFill="1" applyBorder="1"/>
    <xf numFmtId="4" fontId="35" fillId="8" borderId="160" xfId="0" applyNumberFormat="1" applyFont="1" applyFill="1" applyBorder="1" applyAlignment="1">
      <alignment horizontal="center"/>
    </xf>
    <xf numFmtId="2" fontId="35" fillId="8" borderId="160" xfId="0" applyNumberFormat="1" applyFont="1" applyFill="1" applyBorder="1" applyAlignment="1">
      <alignment horizontal="center"/>
    </xf>
    <xf numFmtId="1" fontId="62" fillId="8" borderId="160" xfId="0" applyNumberFormat="1" applyFont="1" applyFill="1" applyBorder="1" applyAlignment="1">
      <alignment horizontal="center"/>
    </xf>
    <xf numFmtId="1" fontId="73" fillId="8" borderId="160" xfId="0" applyNumberFormat="1" applyFont="1" applyFill="1" applyBorder="1" applyAlignment="1">
      <alignment horizontal="left"/>
    </xf>
    <xf numFmtId="2" fontId="0" fillId="0" borderId="198" xfId="0" applyNumberFormat="1" applyBorder="1" applyAlignment="1">
      <alignment horizontal="right"/>
    </xf>
    <xf numFmtId="2" fontId="0" fillId="0" borderId="171" xfId="0" applyNumberFormat="1" applyBorder="1" applyAlignment="1">
      <alignment horizontal="right"/>
    </xf>
    <xf numFmtId="2" fontId="0" fillId="0" borderId="0" xfId="0" applyNumberFormat="1" applyBorder="1" applyAlignment="1">
      <alignment horizontal="right"/>
    </xf>
    <xf numFmtId="2" fontId="0" fillId="0" borderId="1" xfId="0" applyNumberFormat="1" applyBorder="1" applyAlignment="1">
      <alignment horizontal="right"/>
    </xf>
    <xf numFmtId="2" fontId="0" fillId="0" borderId="10" xfId="0" applyNumberFormat="1" applyBorder="1" applyAlignment="1">
      <alignment horizontal="right"/>
    </xf>
    <xf numFmtId="2" fontId="0" fillId="0" borderId="15" xfId="0" applyNumberFormat="1" applyBorder="1" applyAlignment="1">
      <alignment horizontal="right"/>
    </xf>
    <xf numFmtId="1" fontId="0" fillId="0" borderId="160" xfId="0" applyNumberFormat="1" applyBorder="1"/>
    <xf numFmtId="1" fontId="0" fillId="8" borderId="160" xfId="0" applyNumberFormat="1" applyFill="1" applyBorder="1"/>
    <xf numFmtId="1" fontId="73" fillId="8" borderId="199" xfId="0" applyNumberFormat="1" applyFont="1" applyFill="1" applyBorder="1" applyAlignment="1">
      <alignment horizontal="left"/>
    </xf>
    <xf numFmtId="1" fontId="40" fillId="8" borderId="14" xfId="0" applyNumberFormat="1" applyFont="1" applyFill="1" applyBorder="1" applyAlignment="1">
      <alignment horizontal="left"/>
    </xf>
    <xf numFmtId="1" fontId="0" fillId="8" borderId="160" xfId="0" applyNumberFormat="1" applyFill="1" applyBorder="1" applyAlignment="1">
      <alignment horizontal="center"/>
    </xf>
    <xf numFmtId="2" fontId="0" fillId="8" borderId="160" xfId="0" applyNumberFormat="1" applyFill="1" applyBorder="1"/>
    <xf numFmtId="1" fontId="0" fillId="0" borderId="197" xfId="0" applyNumberFormat="1" applyBorder="1" applyAlignment="1">
      <alignment horizontal="right"/>
    </xf>
    <xf numFmtId="1" fontId="0" fillId="0" borderId="124" xfId="0" applyNumberFormat="1" applyBorder="1" applyAlignment="1">
      <alignment horizontal="right"/>
    </xf>
    <xf numFmtId="1" fontId="0" fillId="0" borderId="33" xfId="0" applyNumberFormat="1" applyBorder="1" applyAlignment="1">
      <alignment horizontal="right"/>
    </xf>
    <xf numFmtId="164" fontId="86" fillId="0" borderId="0" xfId="0" applyFont="1"/>
    <xf numFmtId="1" fontId="0" fillId="0" borderId="0" xfId="0" applyNumberFormat="1" applyAlignment="1">
      <alignment horizontal="right"/>
    </xf>
    <xf numFmtId="164" fontId="17" fillId="0" borderId="0" xfId="3" applyFont="1" applyBorder="1" applyAlignment="1" applyProtection="1">
      <alignment horizontal="center"/>
      <protection locked="0"/>
    </xf>
    <xf numFmtId="164" fontId="15" fillId="0" borderId="0" xfId="4" applyFont="1" applyBorder="1" applyAlignment="1" applyProtection="1">
      <alignment horizontal="center"/>
      <protection locked="0"/>
    </xf>
    <xf numFmtId="2" fontId="9" fillId="0" borderId="0" xfId="4" applyNumberFormat="1" applyFont="1" applyBorder="1" applyAlignment="1" applyProtection="1">
      <alignment horizontal="center"/>
      <protection locked="0"/>
    </xf>
    <xf numFmtId="2" fontId="14" fillId="0" borderId="0" xfId="2" applyNumberFormat="1" applyFont="1" applyFill="1" applyBorder="1" applyAlignment="1" applyProtection="1">
      <alignment horizontal="center"/>
      <protection locked="0"/>
    </xf>
    <xf numFmtId="1" fontId="14" fillId="0" borderId="0" xfId="2" applyNumberFormat="1" applyFont="1" applyFill="1" applyBorder="1" applyAlignment="1" applyProtection="1">
      <alignment horizontal="center"/>
      <protection locked="0"/>
    </xf>
    <xf numFmtId="2" fontId="7" fillId="0" borderId="0" xfId="4" applyNumberFormat="1" applyFont="1" applyBorder="1" applyAlignment="1" applyProtection="1">
      <alignment horizontal="center"/>
      <protection locked="0"/>
    </xf>
    <xf numFmtId="1" fontId="87" fillId="0" borderId="10" xfId="2" applyNumberFormat="1" applyFont="1" applyFill="1" applyBorder="1" applyAlignment="1" applyProtection="1">
      <alignment horizontal="center"/>
      <protection locked="0"/>
    </xf>
    <xf numFmtId="164" fontId="80" fillId="0" borderId="0" xfId="2" applyFont="1" applyBorder="1" applyAlignment="1" applyProtection="1">
      <alignment horizontal="center" vertical="center"/>
    </xf>
    <xf numFmtId="164" fontId="80" fillId="0" borderId="160" xfId="2" applyFont="1" applyBorder="1" applyAlignment="1" applyProtection="1">
      <alignment horizontal="center" vertical="center"/>
    </xf>
    <xf numFmtId="164" fontId="88" fillId="0" borderId="0" xfId="0" applyFont="1" applyBorder="1"/>
    <xf numFmtId="164" fontId="0" fillId="0" borderId="198" xfId="0" applyBorder="1"/>
    <xf numFmtId="164" fontId="89" fillId="0" borderId="0" xfId="0" applyFont="1" applyBorder="1" applyAlignment="1"/>
    <xf numFmtId="1" fontId="80" fillId="0" borderId="160" xfId="0" applyNumberFormat="1" applyFont="1" applyBorder="1" applyAlignment="1">
      <alignment horizontal="center" vertical="center"/>
    </xf>
    <xf numFmtId="1" fontId="0" fillId="0" borderId="0" xfId="0" applyNumberFormat="1" applyProtection="1">
      <protection locked="0"/>
    </xf>
    <xf numFmtId="164" fontId="88" fillId="0" borderId="0" xfId="0" applyFont="1" applyBorder="1" applyAlignment="1">
      <alignment vertical="center"/>
    </xf>
    <xf numFmtId="1" fontId="0" fillId="0" borderId="0" xfId="0" applyNumberFormat="1" applyAlignment="1">
      <alignment horizontal="center" vertical="center"/>
    </xf>
    <xf numFmtId="0" fontId="71" fillId="2" borderId="25" xfId="2" applyNumberFormat="1" applyFont="1" applyFill="1" applyBorder="1" applyAlignment="1" applyProtection="1">
      <alignment horizontal="center"/>
      <protection locked="0"/>
    </xf>
    <xf numFmtId="164" fontId="8" fillId="0" borderId="0" xfId="3" applyFont="1" applyBorder="1" applyAlignment="1" applyProtection="1">
      <alignment horizontal="center" vertical="center"/>
    </xf>
    <xf numFmtId="0" fontId="71" fillId="2" borderId="10" xfId="2" applyNumberFormat="1" applyFont="1" applyFill="1" applyBorder="1" applyAlignment="1" applyProtection="1">
      <alignment horizontal="center"/>
      <protection locked="0"/>
    </xf>
    <xf numFmtId="14" fontId="71" fillId="2" borderId="10" xfId="2" applyNumberFormat="1" applyFont="1" applyFill="1" applyBorder="1" applyAlignment="1" applyProtection="1">
      <alignment horizontal="center"/>
      <protection locked="0"/>
    </xf>
    <xf numFmtId="14" fontId="71" fillId="2" borderId="25" xfId="2" applyNumberFormat="1" applyFont="1" applyFill="1" applyBorder="1" applyAlignment="1" applyProtection="1">
      <alignment horizontal="center"/>
      <protection locked="0"/>
    </xf>
    <xf numFmtId="164" fontId="64" fillId="0" borderId="0" xfId="2" applyFont="1" applyBorder="1" applyAlignment="1" applyProtection="1">
      <alignment horizontal="center"/>
    </xf>
    <xf numFmtId="164" fontId="9" fillId="0" borderId="22" xfId="2" applyFont="1" applyBorder="1" applyAlignment="1" applyProtection="1">
      <alignment horizontal="center" vertical="center"/>
    </xf>
    <xf numFmtId="164" fontId="9" fillId="0" borderId="0" xfId="2" applyFont="1" applyBorder="1" applyAlignment="1" applyProtection="1">
      <alignment horizontal="center" vertical="center"/>
    </xf>
    <xf numFmtId="3" fontId="25" fillId="2" borderId="0" xfId="2" applyNumberFormat="1" applyFont="1" applyFill="1" applyBorder="1" applyAlignment="1" applyProtection="1">
      <alignment horizontal="center" vertical="center"/>
      <protection locked="0"/>
    </xf>
    <xf numFmtId="3" fontId="25" fillId="2" borderId="1" xfId="2" applyNumberFormat="1" applyFont="1" applyFill="1" applyBorder="1" applyAlignment="1" applyProtection="1">
      <alignment horizontal="center" vertical="center"/>
      <protection locked="0"/>
    </xf>
    <xf numFmtId="3" fontId="25" fillId="2" borderId="10" xfId="2" applyNumberFormat="1" applyFont="1" applyFill="1" applyBorder="1" applyAlignment="1" applyProtection="1">
      <alignment horizontal="center" vertical="center"/>
      <protection locked="0"/>
    </xf>
    <xf numFmtId="3" fontId="25" fillId="2" borderId="15" xfId="2" applyNumberFormat="1" applyFont="1" applyFill="1" applyBorder="1" applyAlignment="1" applyProtection="1">
      <alignment horizontal="center" vertical="center"/>
      <protection locked="0"/>
    </xf>
    <xf numFmtId="3" fontId="25" fillId="2" borderId="70" xfId="2" applyNumberFormat="1" applyFont="1" applyFill="1" applyBorder="1" applyAlignment="1" applyProtection="1">
      <alignment horizontal="center" vertical="center"/>
      <protection locked="0"/>
    </xf>
    <xf numFmtId="3" fontId="25" fillId="2" borderId="14" xfId="2" applyNumberFormat="1" applyFont="1" applyFill="1" applyBorder="1" applyAlignment="1" applyProtection="1">
      <alignment horizontal="center" vertical="center"/>
      <protection locked="0"/>
    </xf>
    <xf numFmtId="1" fontId="71" fillId="2" borderId="10" xfId="2" applyNumberFormat="1" applyFont="1" applyFill="1" applyBorder="1" applyAlignment="1" applyProtection="1">
      <alignment horizontal="center"/>
      <protection locked="0"/>
    </xf>
    <xf numFmtId="164" fontId="71" fillId="2" borderId="12" xfId="2" applyFont="1" applyFill="1" applyBorder="1" applyAlignment="1" applyProtection="1">
      <alignment horizontal="left" vertical="top" wrapText="1"/>
      <protection locked="0"/>
    </xf>
    <xf numFmtId="164" fontId="71" fillId="2" borderId="11" xfId="2" applyFont="1" applyFill="1" applyBorder="1" applyAlignment="1" applyProtection="1">
      <alignment horizontal="left" vertical="top" wrapText="1"/>
      <protection locked="0"/>
    </xf>
    <xf numFmtId="164" fontId="71" fillId="2" borderId="13" xfId="2" applyFont="1" applyFill="1" applyBorder="1" applyAlignment="1" applyProtection="1">
      <alignment horizontal="left" vertical="top" wrapText="1"/>
      <protection locked="0"/>
    </xf>
    <xf numFmtId="164" fontId="71" fillId="2" borderId="70" xfId="2" applyFont="1" applyFill="1" applyBorder="1" applyAlignment="1" applyProtection="1">
      <alignment horizontal="left" vertical="top" wrapText="1"/>
      <protection locked="0"/>
    </xf>
    <xf numFmtId="164" fontId="71" fillId="2" borderId="0" xfId="2" applyFont="1" applyFill="1" applyBorder="1" applyAlignment="1" applyProtection="1">
      <alignment horizontal="left" vertical="top" wrapText="1"/>
      <protection locked="0"/>
    </xf>
    <xf numFmtId="164" fontId="71" fillId="2" borderId="1" xfId="2" applyFont="1" applyFill="1" applyBorder="1" applyAlignment="1" applyProtection="1">
      <alignment horizontal="left" vertical="top" wrapText="1"/>
      <protection locked="0"/>
    </xf>
    <xf numFmtId="164" fontId="71" fillId="2" borderId="14" xfId="2" applyFont="1" applyFill="1" applyBorder="1" applyAlignment="1" applyProtection="1">
      <alignment horizontal="left" vertical="top" wrapText="1"/>
      <protection locked="0"/>
    </xf>
    <xf numFmtId="164" fontId="71" fillId="2" borderId="10" xfId="2" applyFont="1" applyFill="1" applyBorder="1" applyAlignment="1" applyProtection="1">
      <alignment horizontal="left" vertical="top" wrapText="1"/>
      <protection locked="0"/>
    </xf>
    <xf numFmtId="164" fontId="71" fillId="2" borderId="15" xfId="2" applyFont="1" applyFill="1" applyBorder="1" applyAlignment="1" applyProtection="1">
      <alignment horizontal="left" vertical="top" wrapText="1"/>
      <protection locked="0"/>
    </xf>
    <xf numFmtId="164" fontId="19" fillId="0" borderId="0" xfId="2" applyFont="1" applyBorder="1" applyAlignment="1" applyProtection="1">
      <alignment horizontal="center"/>
    </xf>
    <xf numFmtId="164" fontId="13" fillId="0" borderId="0" xfId="2" applyFont="1" applyBorder="1" applyAlignment="1" applyProtection="1">
      <alignment horizontal="left" vertical="center" wrapText="1"/>
    </xf>
    <xf numFmtId="164" fontId="15" fillId="0" borderId="16" xfId="2" applyFont="1" applyBorder="1" applyAlignment="1" applyProtection="1">
      <alignment horizontal="center"/>
    </xf>
    <xf numFmtId="164" fontId="15" fillId="0" borderId="17" xfId="2" applyFont="1" applyBorder="1" applyAlignment="1" applyProtection="1">
      <alignment horizontal="center"/>
    </xf>
    <xf numFmtId="164" fontId="15" fillId="0" borderId="20" xfId="2" applyFont="1" applyBorder="1" applyAlignment="1" applyProtection="1">
      <alignment horizontal="center"/>
    </xf>
    <xf numFmtId="164" fontId="15" fillId="0" borderId="37" xfId="2" applyFont="1" applyBorder="1" applyAlignment="1" applyProtection="1">
      <alignment horizontal="center"/>
    </xf>
    <xf numFmtId="164" fontId="15" fillId="0" borderId="42" xfId="2" applyFont="1" applyBorder="1" applyAlignment="1" applyProtection="1">
      <alignment horizontal="center"/>
    </xf>
    <xf numFmtId="164" fontId="15" fillId="0" borderId="43" xfId="2" applyFont="1" applyBorder="1" applyAlignment="1" applyProtection="1">
      <alignment horizontal="center"/>
    </xf>
    <xf numFmtId="164" fontId="15" fillId="0" borderId="23" xfId="2" applyFont="1" applyBorder="1" applyAlignment="1" applyProtection="1">
      <alignment horizontal="center"/>
    </xf>
    <xf numFmtId="164" fontId="15" fillId="0" borderId="10" xfId="2" applyFont="1" applyBorder="1" applyAlignment="1" applyProtection="1">
      <alignment horizontal="center"/>
    </xf>
    <xf numFmtId="164" fontId="15" fillId="0" borderId="14" xfId="2" applyFont="1" applyBorder="1" applyAlignment="1" applyProtection="1">
      <alignment horizontal="center"/>
    </xf>
    <xf numFmtId="164" fontId="15" fillId="0" borderId="44" xfId="2" applyFont="1" applyBorder="1" applyAlignment="1" applyProtection="1">
      <alignment horizontal="center"/>
    </xf>
    <xf numFmtId="165" fontId="25" fillId="2" borderId="0" xfId="2" applyNumberFormat="1" applyFont="1" applyFill="1" applyBorder="1" applyAlignment="1" applyProtection="1">
      <alignment horizontal="center" vertical="center" textRotation="60" wrapText="1"/>
      <protection locked="0"/>
    </xf>
    <xf numFmtId="165" fontId="25" fillId="2" borderId="1" xfId="2" quotePrefix="1" applyNumberFormat="1" applyFont="1" applyFill="1" applyBorder="1" applyAlignment="1" applyProtection="1">
      <alignment horizontal="center" vertical="center" textRotation="60" wrapText="1"/>
      <protection locked="0"/>
    </xf>
    <xf numFmtId="165" fontId="25" fillId="2" borderId="0" xfId="2" quotePrefix="1" applyNumberFormat="1" applyFont="1" applyFill="1" applyBorder="1" applyAlignment="1" applyProtection="1">
      <alignment horizontal="center" vertical="center" textRotation="60" wrapText="1"/>
      <protection locked="0"/>
    </xf>
    <xf numFmtId="165" fontId="25" fillId="2" borderId="28" xfId="2" quotePrefix="1" applyNumberFormat="1" applyFont="1" applyFill="1" applyBorder="1" applyAlignment="1" applyProtection="1">
      <alignment horizontal="center" vertical="center" textRotation="60" wrapText="1"/>
      <protection locked="0"/>
    </xf>
    <xf numFmtId="165" fontId="25" fillId="2" borderId="32" xfId="2" quotePrefix="1" applyNumberFormat="1" applyFont="1" applyFill="1" applyBorder="1" applyAlignment="1" applyProtection="1">
      <alignment horizontal="center" vertical="center" textRotation="60" wrapText="1"/>
      <protection locked="0"/>
    </xf>
    <xf numFmtId="165" fontId="25" fillId="2" borderId="70" xfId="2" applyNumberFormat="1" applyFont="1" applyFill="1" applyBorder="1" applyAlignment="1" applyProtection="1">
      <alignment horizontal="center" vertical="center" textRotation="60" wrapText="1"/>
      <protection locked="0"/>
    </xf>
    <xf numFmtId="165" fontId="25" fillId="2" borderId="70" xfId="2" quotePrefix="1" applyNumberFormat="1" applyFont="1" applyFill="1" applyBorder="1" applyAlignment="1" applyProtection="1">
      <alignment horizontal="center" vertical="center" textRotation="60" wrapText="1"/>
      <protection locked="0"/>
    </xf>
    <xf numFmtId="165" fontId="25" fillId="2" borderId="39" xfId="2" quotePrefix="1" applyNumberFormat="1" applyFont="1" applyFill="1" applyBorder="1" applyAlignment="1" applyProtection="1">
      <alignment horizontal="center" vertical="center" textRotation="60" wrapText="1"/>
      <protection locked="0"/>
    </xf>
    <xf numFmtId="165" fontId="25" fillId="2" borderId="38" xfId="2" quotePrefix="1" applyNumberFormat="1" applyFont="1" applyFill="1" applyBorder="1" applyAlignment="1" applyProtection="1">
      <alignment horizontal="center" vertical="center" textRotation="60" wrapText="1"/>
      <protection locked="0"/>
    </xf>
    <xf numFmtId="165" fontId="25" fillId="2" borderId="66" xfId="2" quotePrefix="1" applyNumberFormat="1" applyFont="1" applyFill="1" applyBorder="1" applyAlignment="1" applyProtection="1">
      <alignment horizontal="center" vertical="center" textRotation="60" wrapText="1"/>
      <protection locked="0"/>
    </xf>
    <xf numFmtId="164" fontId="15" fillId="0" borderId="41" xfId="2" applyFont="1" applyBorder="1" applyAlignment="1" applyProtection="1">
      <alignment horizontal="center"/>
    </xf>
    <xf numFmtId="164" fontId="15" fillId="0" borderId="69" xfId="2" applyFont="1" applyBorder="1" applyAlignment="1" applyProtection="1">
      <alignment horizontal="center"/>
    </xf>
    <xf numFmtId="164" fontId="15" fillId="0" borderId="68" xfId="2" applyFont="1" applyBorder="1" applyAlignment="1" applyProtection="1">
      <alignment horizontal="center"/>
    </xf>
    <xf numFmtId="1" fontId="15" fillId="0" borderId="12" xfId="2" applyNumberFormat="1" applyFont="1" applyBorder="1" applyAlignment="1" applyProtection="1">
      <alignment horizontal="center"/>
    </xf>
    <xf numFmtId="1" fontId="15" fillId="0" borderId="11" xfId="2" applyNumberFormat="1" applyFont="1" applyBorder="1" applyAlignment="1" applyProtection="1">
      <alignment horizontal="center"/>
    </xf>
    <xf numFmtId="1" fontId="15" fillId="0" borderId="13" xfId="2" applyNumberFormat="1" applyFont="1" applyBorder="1" applyAlignment="1" applyProtection="1">
      <alignment horizontal="center"/>
    </xf>
    <xf numFmtId="164" fontId="15" fillId="0" borderId="12" xfId="2" applyFont="1" applyBorder="1" applyAlignment="1" applyProtection="1">
      <alignment horizontal="center"/>
    </xf>
    <xf numFmtId="164" fontId="15" fillId="0" borderId="11" xfId="2" applyFont="1" applyBorder="1" applyAlignment="1" applyProtection="1">
      <alignment horizontal="center"/>
    </xf>
    <xf numFmtId="164" fontId="15" fillId="0" borderId="67" xfId="2" applyFont="1" applyBorder="1" applyAlignment="1" applyProtection="1">
      <alignment horizontal="center"/>
    </xf>
    <xf numFmtId="164" fontId="15" fillId="0" borderId="71" xfId="2" applyFont="1" applyBorder="1" applyAlignment="1" applyProtection="1">
      <alignment horizontal="center"/>
    </xf>
    <xf numFmtId="164" fontId="15" fillId="0" borderId="64" xfId="2" applyFont="1" applyBorder="1" applyAlignment="1" applyProtection="1">
      <alignment horizontal="center"/>
    </xf>
    <xf numFmtId="164" fontId="15" fillId="0" borderId="8" xfId="2" applyFont="1" applyBorder="1" applyAlignment="1" applyProtection="1">
      <alignment horizontal="center"/>
    </xf>
    <xf numFmtId="9" fontId="15" fillId="0" borderId="64" xfId="2" quotePrefix="1" applyNumberFormat="1" applyFont="1" applyBorder="1" applyAlignment="1" applyProtection="1">
      <alignment horizontal="center"/>
    </xf>
    <xf numFmtId="9" fontId="15" fillId="0" borderId="65" xfId="2" quotePrefix="1" applyNumberFormat="1" applyFont="1" applyBorder="1" applyAlignment="1" applyProtection="1">
      <alignment horizontal="center"/>
    </xf>
    <xf numFmtId="3" fontId="25" fillId="2" borderId="12" xfId="2" applyNumberFormat="1" applyFont="1" applyFill="1" applyBorder="1" applyAlignment="1" applyProtection="1">
      <alignment horizontal="center" vertical="center"/>
      <protection locked="0"/>
    </xf>
    <xf numFmtId="3" fontId="25" fillId="2" borderId="67" xfId="2" applyNumberFormat="1" applyFont="1" applyFill="1" applyBorder="1" applyAlignment="1" applyProtection="1">
      <alignment horizontal="center" vertical="center"/>
      <protection locked="0"/>
    </xf>
    <xf numFmtId="3" fontId="25" fillId="2" borderId="26" xfId="2" applyNumberFormat="1" applyFont="1" applyFill="1" applyBorder="1" applyAlignment="1" applyProtection="1">
      <alignment horizontal="center" vertical="center"/>
      <protection locked="0"/>
    </xf>
    <xf numFmtId="3" fontId="25" fillId="2" borderId="34" xfId="2" applyNumberFormat="1" applyFont="1" applyFill="1" applyBorder="1" applyAlignment="1" applyProtection="1">
      <alignment horizontal="center" vertical="center"/>
      <protection locked="0"/>
    </xf>
    <xf numFmtId="164" fontId="9" fillId="0" borderId="18" xfId="2" applyFont="1" applyBorder="1" applyAlignment="1" applyProtection="1">
      <alignment horizontal="center" vertical="center"/>
    </xf>
    <xf numFmtId="164" fontId="9" fillId="0" borderId="19" xfId="2" applyFont="1" applyBorder="1" applyAlignment="1" applyProtection="1">
      <alignment horizontal="center" vertical="center"/>
    </xf>
    <xf numFmtId="164" fontId="9" fillId="0" borderId="27" xfId="2" applyFont="1" applyBorder="1" applyAlignment="1" applyProtection="1">
      <alignment horizontal="center" vertical="center"/>
    </xf>
    <xf numFmtId="164" fontId="9" fillId="0" borderId="11" xfId="2" applyFont="1" applyBorder="1" applyAlignment="1" applyProtection="1">
      <alignment horizontal="center" vertical="center"/>
    </xf>
    <xf numFmtId="3" fontId="25" fillId="2" borderId="11" xfId="2" applyNumberFormat="1" applyFont="1" applyFill="1" applyBorder="1" applyAlignment="1" applyProtection="1">
      <alignment horizontal="center" vertical="center"/>
      <protection locked="0"/>
    </xf>
    <xf numFmtId="3" fontId="25" fillId="2" borderId="13" xfId="2" applyNumberFormat="1" applyFont="1" applyFill="1" applyBorder="1" applyAlignment="1" applyProtection="1">
      <alignment horizontal="center" vertical="center"/>
      <protection locked="0"/>
    </xf>
    <xf numFmtId="3" fontId="25" fillId="2" borderId="19" xfId="2" applyNumberFormat="1" applyFont="1" applyFill="1" applyBorder="1" applyAlignment="1" applyProtection="1">
      <alignment horizontal="center" vertical="center"/>
      <protection locked="0"/>
    </xf>
    <xf numFmtId="3" fontId="25" fillId="2" borderId="29" xfId="2" applyNumberFormat="1" applyFont="1" applyFill="1" applyBorder="1" applyAlignment="1" applyProtection="1">
      <alignment horizontal="center" vertical="center"/>
      <protection locked="0"/>
    </xf>
    <xf numFmtId="164" fontId="26" fillId="0" borderId="16" xfId="2" applyFont="1" applyBorder="1" applyAlignment="1" applyProtection="1">
      <alignment horizontal="center" vertical="center" textRotation="90" wrapText="1"/>
    </xf>
    <xf numFmtId="164" fontId="26" fillId="0" borderId="37" xfId="2" applyFont="1" applyBorder="1" applyAlignment="1" applyProtection="1">
      <alignment horizontal="center" vertical="center" textRotation="90" wrapText="1"/>
    </xf>
    <xf numFmtId="164" fontId="26" fillId="0" borderId="22" xfId="2" applyFont="1" applyBorder="1" applyAlignment="1" applyProtection="1">
      <alignment horizontal="center" vertical="center" textRotation="90" wrapText="1"/>
    </xf>
    <xf numFmtId="164" fontId="26" fillId="0" borderId="38" xfId="2" applyFont="1" applyBorder="1" applyAlignment="1" applyProtection="1">
      <alignment horizontal="center" vertical="center" textRotation="90" wrapText="1"/>
    </xf>
    <xf numFmtId="164" fontId="26" fillId="0" borderId="18" xfId="2" applyFont="1" applyBorder="1" applyAlignment="1" applyProtection="1">
      <alignment horizontal="center" vertical="center" textRotation="90" wrapText="1"/>
    </xf>
    <xf numFmtId="164" fontId="26" fillId="0" borderId="34" xfId="2" applyFont="1" applyBorder="1" applyAlignment="1" applyProtection="1">
      <alignment horizontal="center" vertical="center" textRotation="90" wrapText="1"/>
    </xf>
    <xf numFmtId="1" fontId="9" fillId="3" borderId="70" xfId="2" applyNumberFormat="1" applyFont="1" applyFill="1" applyBorder="1" applyAlignment="1" applyProtection="1">
      <alignment horizontal="center" vertical="center"/>
    </xf>
    <xf numFmtId="1" fontId="9" fillId="3" borderId="1" xfId="2" applyNumberFormat="1" applyFont="1" applyFill="1" applyBorder="1" applyAlignment="1" applyProtection="1">
      <alignment horizontal="center" vertical="center"/>
    </xf>
    <xf numFmtId="1" fontId="9" fillId="3" borderId="14" xfId="2" applyNumberFormat="1" applyFont="1" applyFill="1" applyBorder="1" applyAlignment="1" applyProtection="1">
      <alignment horizontal="center" vertical="center"/>
    </xf>
    <xf numFmtId="1" fontId="9" fillId="3" borderId="15" xfId="2" applyNumberFormat="1" applyFont="1" applyFill="1" applyBorder="1" applyAlignment="1" applyProtection="1">
      <alignment horizontal="center" vertical="center"/>
    </xf>
    <xf numFmtId="1" fontId="9" fillId="6" borderId="70" xfId="2" applyNumberFormat="1" applyFont="1" applyFill="1" applyBorder="1" applyAlignment="1" applyProtection="1">
      <alignment horizontal="center" vertical="center"/>
    </xf>
    <xf numFmtId="1" fontId="9" fillId="6" borderId="38" xfId="2" applyNumberFormat="1" applyFont="1" applyFill="1" applyBorder="1" applyAlignment="1" applyProtection="1">
      <alignment horizontal="center" vertical="center"/>
    </xf>
    <xf numFmtId="1" fontId="9" fillId="6" borderId="14" xfId="2" applyNumberFormat="1" applyFont="1" applyFill="1" applyBorder="1" applyAlignment="1" applyProtection="1">
      <alignment horizontal="center" vertical="center"/>
    </xf>
    <xf numFmtId="1" fontId="9" fillId="6" borderId="44" xfId="2" applyNumberFormat="1" applyFont="1" applyFill="1" applyBorder="1" applyAlignment="1" applyProtection="1">
      <alignment horizontal="center" vertical="center"/>
    </xf>
    <xf numFmtId="1" fontId="9" fillId="3" borderId="12" xfId="2" applyNumberFormat="1" applyFont="1" applyFill="1" applyBorder="1" applyAlignment="1" applyProtection="1">
      <alignment horizontal="center" vertical="center"/>
    </xf>
    <xf numFmtId="1" fontId="9" fillId="3" borderId="13" xfId="2" applyNumberFormat="1" applyFont="1" applyFill="1" applyBorder="1" applyAlignment="1" applyProtection="1">
      <alignment horizontal="center" vertical="center"/>
    </xf>
    <xf numFmtId="1" fontId="9" fillId="3" borderId="26" xfId="2" applyNumberFormat="1" applyFont="1" applyFill="1" applyBorder="1" applyAlignment="1" applyProtection="1">
      <alignment horizontal="center" vertical="center"/>
    </xf>
    <xf numFmtId="1" fontId="9" fillId="3" borderId="29" xfId="2" applyNumberFormat="1" applyFont="1" applyFill="1" applyBorder="1" applyAlignment="1" applyProtection="1">
      <alignment horizontal="center" vertical="center"/>
    </xf>
    <xf numFmtId="1" fontId="9" fillId="6" borderId="12" xfId="2" applyNumberFormat="1" applyFont="1" applyFill="1" applyBorder="1" applyAlignment="1" applyProtection="1">
      <alignment horizontal="center" vertical="center"/>
    </xf>
    <xf numFmtId="1" fontId="9" fillId="6" borderId="13" xfId="2" applyNumberFormat="1" applyFont="1" applyFill="1" applyBorder="1" applyAlignment="1" applyProtection="1">
      <alignment horizontal="center" vertical="center"/>
    </xf>
    <xf numFmtId="1" fontId="9" fillId="6" borderId="26" xfId="2" applyNumberFormat="1" applyFont="1" applyFill="1" applyBorder="1" applyAlignment="1" applyProtection="1">
      <alignment horizontal="center" vertical="center"/>
    </xf>
    <xf numFmtId="1" fontId="9" fillId="6" borderId="29" xfId="2" applyNumberFormat="1" applyFont="1" applyFill="1" applyBorder="1" applyAlignment="1" applyProtection="1">
      <alignment horizontal="center" vertical="center"/>
    </xf>
    <xf numFmtId="1" fontId="9" fillId="3" borderId="67" xfId="2" applyNumberFormat="1" applyFont="1" applyFill="1" applyBorder="1" applyAlignment="1" applyProtection="1">
      <alignment horizontal="center" vertical="center"/>
    </xf>
    <xf numFmtId="1" fontId="9" fillId="3" borderId="34" xfId="2" applyNumberFormat="1" applyFont="1" applyFill="1" applyBorder="1" applyAlignment="1" applyProtection="1">
      <alignment horizontal="center" vertical="center"/>
    </xf>
    <xf numFmtId="3" fontId="25" fillId="2" borderId="38" xfId="2" applyNumberFormat="1" applyFont="1" applyFill="1" applyBorder="1" applyAlignment="1" applyProtection="1">
      <alignment horizontal="center" vertical="center"/>
      <protection locked="0"/>
    </xf>
    <xf numFmtId="3" fontId="25" fillId="2" borderId="44" xfId="2" applyNumberFormat="1" applyFont="1" applyFill="1" applyBorder="1" applyAlignment="1" applyProtection="1">
      <alignment horizontal="center" vertical="center"/>
      <protection locked="0"/>
    </xf>
    <xf numFmtId="164" fontId="9" fillId="0" borderId="23" xfId="2" applyFont="1" applyBorder="1" applyAlignment="1" applyProtection="1">
      <alignment horizontal="center" vertical="center"/>
    </xf>
    <xf numFmtId="164" fontId="9" fillId="0" borderId="10" xfId="2" applyFont="1" applyBorder="1" applyAlignment="1" applyProtection="1">
      <alignment horizontal="center" vertical="center"/>
    </xf>
    <xf numFmtId="3" fontId="25" fillId="2" borderId="50" xfId="2" applyNumberFormat="1" applyFont="1" applyFill="1" applyBorder="1" applyAlignment="1" applyProtection="1">
      <alignment horizontal="center" vertical="center"/>
      <protection locked="0"/>
    </xf>
    <xf numFmtId="3" fontId="25" fillId="2" borderId="127" xfId="2" applyNumberFormat="1" applyFont="1" applyFill="1" applyBorder="1" applyAlignment="1" applyProtection="1">
      <alignment horizontal="center" vertical="center"/>
      <protection locked="0"/>
    </xf>
    <xf numFmtId="3" fontId="25" fillId="2" borderId="23" xfId="2" applyNumberFormat="1" applyFont="1" applyFill="1" applyBorder="1" applyAlignment="1" applyProtection="1">
      <alignment horizontal="center" vertical="center"/>
      <protection locked="0"/>
    </xf>
    <xf numFmtId="3" fontId="25" fillId="2" borderId="126" xfId="2" applyNumberFormat="1" applyFont="1" applyFill="1" applyBorder="1" applyAlignment="1" applyProtection="1">
      <alignment horizontal="center" vertical="center"/>
      <protection locked="0"/>
    </xf>
    <xf numFmtId="3" fontId="25" fillId="2" borderId="36" xfId="2" applyNumberFormat="1" applyFont="1" applyFill="1" applyBorder="1" applyAlignment="1" applyProtection="1">
      <alignment horizontal="center" vertical="center"/>
      <protection locked="0"/>
    </xf>
    <xf numFmtId="1" fontId="9" fillId="6" borderId="1" xfId="2" applyNumberFormat="1" applyFont="1" applyFill="1" applyBorder="1" applyAlignment="1" applyProtection="1">
      <alignment horizontal="center" vertical="center"/>
    </xf>
    <xf numFmtId="1" fontId="9" fillId="3" borderId="38" xfId="2" applyNumberFormat="1" applyFont="1" applyFill="1" applyBorder="1" applyAlignment="1" applyProtection="1">
      <alignment horizontal="center" vertical="center"/>
    </xf>
    <xf numFmtId="3" fontId="25" fillId="2" borderId="200" xfId="2" applyNumberFormat="1" applyFont="1" applyFill="1" applyBorder="1" applyAlignment="1" applyProtection="1">
      <alignment horizontal="center" vertical="center"/>
      <protection locked="0"/>
    </xf>
    <xf numFmtId="3" fontId="25" fillId="2" borderId="171" xfId="2" applyNumberFormat="1" applyFont="1" applyFill="1" applyBorder="1" applyAlignment="1" applyProtection="1">
      <alignment horizontal="center" vertical="center"/>
      <protection locked="0"/>
    </xf>
    <xf numFmtId="3" fontId="25" fillId="2" borderId="18" xfId="2" applyNumberFormat="1" applyFont="1" applyFill="1" applyBorder="1" applyAlignment="1" applyProtection="1">
      <alignment horizontal="center" vertical="center"/>
      <protection locked="0"/>
    </xf>
    <xf numFmtId="3" fontId="25" fillId="2" borderId="172" xfId="2" applyNumberFormat="1" applyFont="1" applyFill="1" applyBorder="1" applyAlignment="1" applyProtection="1">
      <alignment horizontal="center" vertical="center"/>
      <protection locked="0"/>
    </xf>
    <xf numFmtId="3" fontId="25" fillId="2" borderId="193" xfId="2" applyNumberFormat="1" applyFont="1" applyFill="1" applyBorder="1" applyAlignment="1" applyProtection="1">
      <alignment horizontal="center" vertical="center"/>
      <protection locked="0"/>
    </xf>
    <xf numFmtId="164" fontId="15" fillId="0" borderId="63" xfId="2" applyFont="1" applyBorder="1" applyAlignment="1" applyProtection="1">
      <alignment horizontal="center"/>
    </xf>
    <xf numFmtId="164" fontId="15" fillId="0" borderId="24" xfId="2" applyFont="1" applyBorder="1" applyAlignment="1" applyProtection="1">
      <alignment horizontal="center"/>
    </xf>
    <xf numFmtId="164" fontId="25" fillId="5" borderId="0" xfId="2" applyFont="1" applyFill="1" applyBorder="1" applyAlignment="1" applyProtection="1">
      <alignment horizontal="right" vertical="top"/>
    </xf>
    <xf numFmtId="1" fontId="0" fillId="0" borderId="172" xfId="0" applyNumberFormat="1" applyBorder="1" applyAlignment="1">
      <alignment horizontal="center" vertical="center"/>
    </xf>
    <xf numFmtId="1" fontId="0" fillId="0" borderId="171" xfId="0" applyNumberFormat="1" applyBorder="1" applyAlignment="1">
      <alignment horizontal="center" vertical="center"/>
    </xf>
    <xf numFmtId="1" fontId="0" fillId="0" borderId="14" xfId="0" applyNumberFormat="1" applyBorder="1" applyAlignment="1">
      <alignment horizontal="center" vertical="center"/>
    </xf>
    <xf numFmtId="1" fontId="0" fillId="0" borderId="15" xfId="0" applyNumberFormat="1" applyBorder="1" applyAlignment="1">
      <alignment horizontal="center" vertical="center"/>
    </xf>
    <xf numFmtId="164" fontId="25" fillId="4" borderId="0" xfId="2" applyFont="1" applyFill="1" applyBorder="1" applyAlignment="1" applyProtection="1">
      <alignment horizontal="right" vertical="top"/>
    </xf>
    <xf numFmtId="164" fontId="50" fillId="0" borderId="138" xfId="2" applyFont="1" applyBorder="1" applyAlignment="1" applyProtection="1">
      <alignment horizontal="center"/>
    </xf>
    <xf numFmtId="164" fontId="50" fillId="0" borderId="35" xfId="2" applyFont="1" applyBorder="1" applyAlignment="1" applyProtection="1">
      <alignment horizontal="center"/>
    </xf>
    <xf numFmtId="164" fontId="50" fillId="0" borderId="141" xfId="2" applyFont="1" applyBorder="1" applyAlignment="1" applyProtection="1">
      <alignment horizontal="center"/>
    </xf>
    <xf numFmtId="164" fontId="50" fillId="0" borderId="80" xfId="2" applyFont="1" applyBorder="1" applyAlignment="1" applyProtection="1">
      <alignment horizontal="center"/>
    </xf>
    <xf numFmtId="164" fontId="50" fillId="0" borderId="0" xfId="2" applyFont="1" applyBorder="1" applyAlignment="1" applyProtection="1">
      <alignment horizontal="center"/>
    </xf>
    <xf numFmtId="164" fontId="50" fillId="0" borderId="6" xfId="2" applyFont="1" applyBorder="1" applyAlignment="1" applyProtection="1">
      <alignment horizontal="center"/>
    </xf>
    <xf numFmtId="164" fontId="4" fillId="0" borderId="80" xfId="2" applyFont="1" applyBorder="1" applyAlignment="1" applyProtection="1">
      <alignment horizontal="center"/>
    </xf>
    <xf numFmtId="164" fontId="4" fillId="0" borderId="0" xfId="2" applyFont="1" applyBorder="1" applyAlignment="1" applyProtection="1">
      <alignment horizontal="center"/>
    </xf>
    <xf numFmtId="164" fontId="4" fillId="0" borderId="6" xfId="2" applyFont="1" applyBorder="1" applyAlignment="1" applyProtection="1">
      <alignment horizontal="center"/>
    </xf>
    <xf numFmtId="164" fontId="27" fillId="0" borderId="60" xfId="2" applyFont="1" applyBorder="1" applyAlignment="1">
      <alignment horizontal="center"/>
    </xf>
    <xf numFmtId="164" fontId="27" fillId="0" borderId="61" xfId="2" applyFont="1" applyBorder="1" applyAlignment="1">
      <alignment horizontal="center"/>
    </xf>
    <xf numFmtId="164" fontId="27" fillId="0" borderId="62" xfId="2" applyFont="1" applyBorder="1" applyAlignment="1">
      <alignment horizontal="center"/>
    </xf>
    <xf numFmtId="164" fontId="14" fillId="0" borderId="16" xfId="2" applyFont="1" applyBorder="1" applyAlignment="1">
      <alignment horizontal="center"/>
    </xf>
    <xf numFmtId="164" fontId="14" fillId="0" borderId="17" xfId="2" applyFont="1" applyBorder="1" applyAlignment="1">
      <alignment horizontal="center"/>
    </xf>
    <xf numFmtId="164" fontId="14" fillId="0" borderId="37" xfId="2" applyFont="1" applyBorder="1" applyAlignment="1">
      <alignment horizontal="center"/>
    </xf>
    <xf numFmtId="164" fontId="14" fillId="0" borderId="50" xfId="2" applyFont="1" applyBorder="1" applyAlignment="1" applyProtection="1">
      <alignment horizontal="right" vertical="center"/>
      <protection hidden="1"/>
    </xf>
    <xf numFmtId="164" fontId="14" fillId="0" borderId="35" xfId="2" applyFont="1" applyBorder="1" applyAlignment="1" applyProtection="1">
      <alignment horizontal="right" vertical="center"/>
      <protection hidden="1"/>
    </xf>
    <xf numFmtId="164" fontId="14" fillId="0" borderId="36" xfId="2" applyFont="1" applyBorder="1" applyAlignment="1" applyProtection="1">
      <alignment horizontal="right" vertical="center"/>
      <protection hidden="1"/>
    </xf>
    <xf numFmtId="164" fontId="14" fillId="0" borderId="23" xfId="2" applyFont="1" applyBorder="1" applyAlignment="1" applyProtection="1">
      <alignment horizontal="right" vertical="center"/>
      <protection hidden="1"/>
    </xf>
    <xf numFmtId="164" fontId="14" fillId="0" borderId="10" xfId="2" applyFont="1" applyBorder="1" applyAlignment="1" applyProtection="1">
      <alignment horizontal="right" vertical="center"/>
      <protection hidden="1"/>
    </xf>
    <xf numFmtId="164" fontId="14" fillId="0" borderId="44" xfId="2" applyFont="1" applyBorder="1" applyAlignment="1" applyProtection="1">
      <alignment horizontal="right" vertical="center"/>
      <protection hidden="1"/>
    </xf>
    <xf numFmtId="164" fontId="27" fillId="0" borderId="22" xfId="2" applyFont="1" applyBorder="1" applyAlignment="1">
      <alignment horizontal="right" vertical="center"/>
    </xf>
    <xf numFmtId="164" fontId="27" fillId="0" borderId="0" xfId="2" applyFont="1" applyBorder="1" applyAlignment="1">
      <alignment horizontal="right" vertical="center"/>
    </xf>
    <xf numFmtId="164" fontId="27" fillId="0" borderId="38" xfId="2" applyFont="1" applyBorder="1" applyAlignment="1">
      <alignment horizontal="right" vertical="center"/>
    </xf>
    <xf numFmtId="164" fontId="27" fillId="0" borderId="18" xfId="2" applyFont="1" applyBorder="1" applyAlignment="1">
      <alignment horizontal="right" vertical="center"/>
    </xf>
    <xf numFmtId="164" fontId="27" fillId="0" borderId="19" xfId="2" applyFont="1" applyBorder="1" applyAlignment="1">
      <alignment horizontal="right" vertical="center"/>
    </xf>
    <xf numFmtId="164" fontId="27" fillId="0" borderId="34" xfId="2" applyFont="1" applyBorder="1" applyAlignment="1">
      <alignment horizontal="right" vertical="center"/>
    </xf>
    <xf numFmtId="165" fontId="28" fillId="2" borderId="53" xfId="2" applyNumberFormat="1" applyFont="1" applyFill="1" applyBorder="1" applyAlignment="1" applyProtection="1">
      <alignment horizontal="center" vertical="center" textRotation="75" wrapText="1"/>
      <protection locked="0"/>
    </xf>
    <xf numFmtId="165" fontId="28" fillId="2" borderId="54" xfId="2" applyNumberFormat="1" applyFont="1" applyFill="1" applyBorder="1" applyAlignment="1" applyProtection="1">
      <alignment horizontal="center" vertical="center" textRotation="75" wrapText="1"/>
      <protection locked="0"/>
    </xf>
    <xf numFmtId="165" fontId="28" fillId="2" borderId="48" xfId="2" applyNumberFormat="1" applyFont="1" applyFill="1" applyBorder="1" applyAlignment="1" applyProtection="1">
      <alignment horizontal="center" vertical="center" textRotation="75" wrapText="1"/>
      <protection locked="0"/>
    </xf>
    <xf numFmtId="165" fontId="28" fillId="2" borderId="30" xfId="2" applyNumberFormat="1" applyFont="1" applyFill="1" applyBorder="1" applyAlignment="1" applyProtection="1">
      <alignment horizontal="center" vertical="center" textRotation="75" wrapText="1"/>
      <protection locked="0"/>
    </xf>
    <xf numFmtId="165" fontId="28" fillId="2" borderId="55" xfId="2" applyNumberFormat="1" applyFont="1" applyFill="1" applyBorder="1" applyAlignment="1" applyProtection="1">
      <alignment horizontal="center" vertical="center" textRotation="75" wrapText="1"/>
      <protection locked="0"/>
    </xf>
    <xf numFmtId="165" fontId="28" fillId="2" borderId="31" xfId="2" applyNumberFormat="1" applyFont="1" applyFill="1" applyBorder="1" applyAlignment="1" applyProtection="1">
      <alignment horizontal="center" vertical="center" textRotation="75" wrapText="1"/>
      <protection locked="0"/>
    </xf>
    <xf numFmtId="3" fontId="25" fillId="2" borderId="45" xfId="2" applyNumberFormat="1" applyFont="1" applyFill="1" applyBorder="1" applyAlignment="1" applyProtection="1">
      <alignment horizontal="center" vertical="center"/>
      <protection locked="0"/>
    </xf>
    <xf numFmtId="3" fontId="25" fillId="2" borderId="46" xfId="2" applyNumberFormat="1" applyFont="1" applyFill="1" applyBorder="1" applyAlignment="1" applyProtection="1">
      <alignment horizontal="center" vertical="center"/>
      <protection locked="0"/>
    </xf>
    <xf numFmtId="3" fontId="25" fillId="2" borderId="47" xfId="2" applyNumberFormat="1" applyFont="1" applyFill="1" applyBorder="1" applyAlignment="1" applyProtection="1">
      <alignment horizontal="center" vertical="center"/>
      <protection locked="0"/>
    </xf>
    <xf numFmtId="3" fontId="25" fillId="2" borderId="33" xfId="2" applyNumberFormat="1" applyFont="1" applyFill="1" applyBorder="1" applyAlignment="1" applyProtection="1">
      <alignment horizontal="center" vertical="center"/>
      <protection locked="0"/>
    </xf>
    <xf numFmtId="165" fontId="28" fillId="2" borderId="56" xfId="2" applyNumberFormat="1" applyFont="1" applyFill="1" applyBorder="1" applyAlignment="1" applyProtection="1">
      <alignment horizontal="center" vertical="center" textRotation="75" wrapText="1"/>
      <protection locked="0"/>
    </xf>
    <xf numFmtId="165" fontId="28" fillId="2" borderId="57" xfId="2" applyNumberFormat="1" applyFont="1" applyFill="1" applyBorder="1" applyAlignment="1" applyProtection="1">
      <alignment horizontal="center" vertical="center" textRotation="75" wrapText="1"/>
      <protection locked="0"/>
    </xf>
    <xf numFmtId="165" fontId="28" fillId="2" borderId="58" xfId="2" applyNumberFormat="1" applyFont="1" applyFill="1" applyBorder="1" applyAlignment="1" applyProtection="1">
      <alignment horizontal="center" vertical="center" textRotation="75" wrapText="1"/>
      <protection locked="0"/>
    </xf>
    <xf numFmtId="3" fontId="25" fillId="2" borderId="48" xfId="2" applyNumberFormat="1" applyFont="1" applyFill="1" applyBorder="1" applyAlignment="1" applyProtection="1">
      <alignment horizontal="center" vertical="center"/>
      <protection locked="0"/>
    </xf>
    <xf numFmtId="3" fontId="25" fillId="2" borderId="30" xfId="2" applyNumberFormat="1" applyFont="1" applyFill="1" applyBorder="1" applyAlignment="1" applyProtection="1">
      <alignment horizontal="center" vertical="center"/>
      <protection locked="0"/>
    </xf>
    <xf numFmtId="3" fontId="25" fillId="2" borderId="49" xfId="2" applyNumberFormat="1" applyFont="1" applyFill="1" applyBorder="1" applyAlignment="1" applyProtection="1">
      <alignment horizontal="center" vertical="center"/>
      <protection locked="0"/>
    </xf>
    <xf numFmtId="3" fontId="25" fillId="2" borderId="40" xfId="2" applyNumberFormat="1" applyFont="1" applyFill="1" applyBorder="1" applyAlignment="1" applyProtection="1">
      <alignment horizontal="center" vertical="center"/>
      <protection locked="0"/>
    </xf>
    <xf numFmtId="3" fontId="25" fillId="2" borderId="57" xfId="2" applyNumberFormat="1" applyFont="1" applyFill="1" applyBorder="1" applyAlignment="1" applyProtection="1">
      <alignment horizontal="center" vertical="center"/>
      <protection locked="0"/>
    </xf>
    <xf numFmtId="3" fontId="25" fillId="2" borderId="59" xfId="2" applyNumberFormat="1" applyFont="1" applyFill="1" applyBorder="1" applyAlignment="1" applyProtection="1">
      <alignment horizontal="center" vertical="center"/>
      <protection locked="0"/>
    </xf>
    <xf numFmtId="3" fontId="25" fillId="2" borderId="51" xfId="2" applyNumberFormat="1" applyFont="1" applyFill="1" applyBorder="1" applyAlignment="1" applyProtection="1">
      <alignment horizontal="center" vertical="center"/>
      <protection locked="0"/>
    </xf>
    <xf numFmtId="3" fontId="25" fillId="2" borderId="52" xfId="2" applyNumberFormat="1" applyFont="1" applyFill="1" applyBorder="1" applyAlignment="1" applyProtection="1">
      <alignment horizontal="center" vertical="center"/>
      <protection locked="0"/>
    </xf>
    <xf numFmtId="164" fontId="85" fillId="0" borderId="0" xfId="2" applyFont="1" applyFill="1" applyBorder="1" applyAlignment="1" applyProtection="1">
      <alignment horizontal="center" vertical="center"/>
    </xf>
    <xf numFmtId="164" fontId="54" fillId="0" borderId="82" xfId="0" applyFont="1" applyBorder="1" applyAlignment="1">
      <alignment horizontal="right" vertical="center"/>
    </xf>
    <xf numFmtId="164" fontId="54" fillId="0" borderId="83" xfId="0" applyFont="1" applyBorder="1" applyAlignment="1">
      <alignment horizontal="right" vertical="center"/>
    </xf>
    <xf numFmtId="164" fontId="54" fillId="0" borderId="119" xfId="0" applyFont="1" applyBorder="1" applyAlignment="1">
      <alignment horizontal="right" vertical="center"/>
    </xf>
    <xf numFmtId="164" fontId="54" fillId="0" borderId="83" xfId="0" applyFont="1" applyBorder="1" applyAlignment="1">
      <alignment horizontal="left" vertical="center"/>
    </xf>
    <xf numFmtId="164" fontId="54" fillId="0" borderId="86" xfId="0" applyFont="1" applyBorder="1" applyAlignment="1">
      <alignment horizontal="left" vertical="center"/>
    </xf>
    <xf numFmtId="164" fontId="4" fillId="0" borderId="80" xfId="2" applyFont="1" applyBorder="1" applyAlignment="1" applyProtection="1">
      <alignment horizontal="center" vertical="center"/>
    </xf>
    <xf numFmtId="164" fontId="4" fillId="0" borderId="0" xfId="2" applyFont="1" applyBorder="1" applyAlignment="1" applyProtection="1">
      <alignment horizontal="center" vertical="center"/>
    </xf>
    <xf numFmtId="164" fontId="4" fillId="0" borderId="6" xfId="2" applyFont="1" applyBorder="1" applyAlignment="1" applyProtection="1">
      <alignment horizontal="center" vertical="center"/>
    </xf>
    <xf numFmtId="173" fontId="4" fillId="0" borderId="98" xfId="2" applyNumberFormat="1" applyFont="1" applyFill="1" applyBorder="1" applyAlignment="1" applyProtection="1">
      <alignment horizontal="center" vertical="center"/>
    </xf>
    <xf numFmtId="173" fontId="4" fillId="0" borderId="99" xfId="2" applyNumberFormat="1" applyFont="1" applyFill="1" applyBorder="1" applyAlignment="1" applyProtection="1">
      <alignment horizontal="center" vertical="center"/>
    </xf>
    <xf numFmtId="173" fontId="4" fillId="0" borderId="100" xfId="2" applyNumberFormat="1" applyFont="1" applyFill="1" applyBorder="1" applyAlignment="1" applyProtection="1">
      <alignment horizontal="center" vertical="center"/>
    </xf>
    <xf numFmtId="3" fontId="4" fillId="0" borderId="22" xfId="2" applyNumberFormat="1" applyFont="1" applyFill="1" applyBorder="1" applyAlignment="1" applyProtection="1">
      <alignment horizontal="right" vertical="center"/>
    </xf>
    <xf numFmtId="3" fontId="4" fillId="0" borderId="0" xfId="2" applyNumberFormat="1" applyFont="1" applyFill="1" applyBorder="1" applyAlignment="1" applyProtection="1">
      <alignment horizontal="right" vertical="center"/>
    </xf>
    <xf numFmtId="173" fontId="72" fillId="2" borderId="101" xfId="2" applyNumberFormat="1" applyFont="1" applyFill="1" applyBorder="1" applyAlignment="1" applyProtection="1">
      <alignment horizontal="center" vertical="center"/>
      <protection locked="0"/>
    </xf>
    <xf numFmtId="173" fontId="72" fillId="2" borderId="30" xfId="2" applyNumberFormat="1" applyFont="1" applyFill="1" applyBorder="1" applyAlignment="1" applyProtection="1">
      <alignment horizontal="center" vertical="center"/>
      <protection locked="0"/>
    </xf>
    <xf numFmtId="173" fontId="72" fillId="2" borderId="57" xfId="2" applyNumberFormat="1" applyFont="1" applyFill="1" applyBorder="1" applyAlignment="1" applyProtection="1">
      <alignment horizontal="center" vertical="center"/>
      <protection locked="0"/>
    </xf>
    <xf numFmtId="3" fontId="25" fillId="0" borderId="81" xfId="2" quotePrefix="1" applyNumberFormat="1" applyFont="1" applyFill="1" applyBorder="1" applyAlignment="1" applyProtection="1">
      <alignment horizontal="left" vertical="center"/>
    </xf>
    <xf numFmtId="3" fontId="25" fillId="0" borderId="28" xfId="2" applyNumberFormat="1" applyFont="1" applyFill="1" applyBorder="1" applyAlignment="1" applyProtection="1">
      <alignment horizontal="left" vertical="center"/>
    </xf>
    <xf numFmtId="3" fontId="25" fillId="0" borderId="90" xfId="2" applyNumberFormat="1" applyFont="1" applyFill="1" applyBorder="1" applyAlignment="1" applyProtection="1">
      <alignment horizontal="left" vertical="center"/>
    </xf>
    <xf numFmtId="3" fontId="4" fillId="0" borderId="96" xfId="2" applyNumberFormat="1" applyFont="1" applyFill="1" applyBorder="1" applyAlignment="1" applyProtection="1">
      <alignment horizontal="center" vertical="center"/>
    </xf>
    <xf numFmtId="3" fontId="4" fillId="0" borderId="97" xfId="2" applyNumberFormat="1" applyFont="1" applyFill="1" applyBorder="1" applyAlignment="1" applyProtection="1">
      <alignment horizontal="center" vertical="center"/>
    </xf>
    <xf numFmtId="3" fontId="4" fillId="0" borderId="95" xfId="2" applyNumberFormat="1" applyFont="1" applyFill="1" applyBorder="1" applyAlignment="1" applyProtection="1">
      <alignment horizontal="center" vertical="center"/>
    </xf>
    <xf numFmtId="3" fontId="4" fillId="0" borderId="98" xfId="2" applyNumberFormat="1" applyFont="1" applyFill="1" applyBorder="1" applyAlignment="1" applyProtection="1">
      <alignment horizontal="center" vertical="center"/>
    </xf>
    <xf numFmtId="3" fontId="4" fillId="0" borderId="99" xfId="2" applyNumberFormat="1" applyFont="1" applyFill="1" applyBorder="1" applyAlignment="1" applyProtection="1">
      <alignment horizontal="center" vertical="center"/>
    </xf>
    <xf numFmtId="3" fontId="4" fillId="0" borderId="100" xfId="2" applyNumberFormat="1" applyFont="1" applyFill="1" applyBorder="1" applyAlignment="1" applyProtection="1">
      <alignment horizontal="center" vertical="center"/>
    </xf>
    <xf numFmtId="164" fontId="81" fillId="2" borderId="78" xfId="2" applyFont="1" applyFill="1" applyBorder="1" applyAlignment="1" applyProtection="1">
      <alignment horizontal="left" vertical="top" wrapText="1"/>
      <protection locked="0"/>
    </xf>
    <xf numFmtId="164" fontId="81" fillId="2" borderId="11" xfId="2" applyFont="1" applyFill="1" applyBorder="1" applyAlignment="1" applyProtection="1">
      <alignment horizontal="left" vertical="top" wrapText="1"/>
      <protection locked="0"/>
    </xf>
    <xf numFmtId="164" fontId="81" fillId="2" borderId="13" xfId="2" applyFont="1" applyFill="1" applyBorder="1" applyAlignment="1" applyProtection="1">
      <alignment horizontal="left" vertical="top" wrapText="1"/>
      <protection locked="0"/>
    </xf>
    <xf numFmtId="164" fontId="81" fillId="2" borderId="70" xfId="2" applyFont="1" applyFill="1" applyBorder="1" applyAlignment="1" applyProtection="1">
      <alignment horizontal="left" vertical="top" wrapText="1"/>
      <protection locked="0"/>
    </xf>
    <xf numFmtId="164" fontId="81" fillId="2" borderId="0" xfId="2" applyFont="1" applyFill="1" applyBorder="1" applyAlignment="1" applyProtection="1">
      <alignment horizontal="left" vertical="top" wrapText="1"/>
      <protection locked="0"/>
    </xf>
    <xf numFmtId="164" fontId="81" fillId="2" borderId="1" xfId="2" applyFont="1" applyFill="1" applyBorder="1" applyAlignment="1" applyProtection="1">
      <alignment horizontal="left" vertical="top" wrapText="1"/>
      <protection locked="0"/>
    </xf>
    <xf numFmtId="164" fontId="81" fillId="2" borderId="14" xfId="2" applyFont="1" applyFill="1" applyBorder="1" applyAlignment="1" applyProtection="1">
      <alignment horizontal="left" vertical="top" wrapText="1"/>
      <protection locked="0"/>
    </xf>
    <xf numFmtId="164" fontId="81" fillId="2" borderId="10" xfId="2" applyFont="1" applyFill="1" applyBorder="1" applyAlignment="1" applyProtection="1">
      <alignment horizontal="left" vertical="top" wrapText="1"/>
      <protection locked="0"/>
    </xf>
    <xf numFmtId="164" fontId="81" fillId="2" borderId="15" xfId="2" applyFont="1" applyFill="1" applyBorder="1" applyAlignment="1" applyProtection="1">
      <alignment horizontal="left" vertical="top" wrapText="1"/>
      <protection locked="0"/>
    </xf>
    <xf numFmtId="3" fontId="55" fillId="0" borderId="162" xfId="2" applyNumberFormat="1" applyFont="1" applyFill="1" applyBorder="1" applyAlignment="1" applyProtection="1">
      <alignment horizontal="center" vertical="top"/>
    </xf>
    <xf numFmtId="3" fontId="55" fillId="0" borderId="163" xfId="2" applyNumberFormat="1" applyFont="1" applyFill="1" applyBorder="1" applyAlignment="1" applyProtection="1">
      <alignment horizontal="center" vertical="top"/>
    </xf>
    <xf numFmtId="3" fontId="55" fillId="0" borderId="164" xfId="2" applyNumberFormat="1" applyFont="1" applyFill="1" applyBorder="1" applyAlignment="1" applyProtection="1">
      <alignment horizontal="center" vertical="top"/>
    </xf>
    <xf numFmtId="3" fontId="55" fillId="0" borderId="50" xfId="2" applyNumberFormat="1" applyFont="1" applyFill="1" applyBorder="1" applyAlignment="1" applyProtection="1">
      <alignment horizontal="center" vertical="center"/>
    </xf>
    <xf numFmtId="3" fontId="55" fillId="0" borderId="35" xfId="2" applyNumberFormat="1" applyFont="1" applyFill="1" applyBorder="1" applyAlignment="1" applyProtection="1">
      <alignment horizontal="center" vertical="center"/>
    </xf>
    <xf numFmtId="3" fontId="55" fillId="0" borderId="36" xfId="2" applyNumberFormat="1" applyFont="1" applyFill="1" applyBorder="1" applyAlignment="1" applyProtection="1">
      <alignment horizontal="center" vertical="center"/>
    </xf>
    <xf numFmtId="1" fontId="55" fillId="0" borderId="16" xfId="2" applyNumberFormat="1" applyFont="1" applyFill="1" applyBorder="1" applyAlignment="1" applyProtection="1">
      <alignment horizontal="center" wrapText="1"/>
    </xf>
    <xf numFmtId="1" fontId="55" fillId="0" borderId="17" xfId="2" applyNumberFormat="1" applyFont="1" applyFill="1" applyBorder="1" applyAlignment="1" applyProtection="1">
      <alignment horizontal="center" wrapText="1"/>
    </xf>
    <xf numFmtId="1" fontId="55" fillId="0" borderId="37" xfId="2" applyNumberFormat="1" applyFont="1" applyFill="1" applyBorder="1" applyAlignment="1" applyProtection="1">
      <alignment horizontal="center" wrapText="1"/>
    </xf>
    <xf numFmtId="1" fontId="55" fillId="0" borderId="22" xfId="2" applyNumberFormat="1" applyFont="1" applyFill="1" applyBorder="1" applyAlignment="1" applyProtection="1">
      <alignment horizontal="center" wrapText="1"/>
    </xf>
    <xf numFmtId="1" fontId="55" fillId="0" borderId="0" xfId="2" applyNumberFormat="1" applyFont="1" applyFill="1" applyBorder="1" applyAlignment="1" applyProtection="1">
      <alignment horizontal="center" wrapText="1"/>
    </xf>
    <xf numFmtId="1" fontId="55" fillId="0" borderId="38" xfId="2" applyNumberFormat="1" applyFont="1" applyFill="1" applyBorder="1" applyAlignment="1" applyProtection="1">
      <alignment horizontal="center" wrapText="1"/>
    </xf>
    <xf numFmtId="1" fontId="55" fillId="0" borderId="79" xfId="2" applyNumberFormat="1" applyFont="1" applyFill="1" applyBorder="1" applyAlignment="1" applyProtection="1">
      <alignment horizontal="center" wrapText="1"/>
    </xf>
    <xf numFmtId="1" fontId="55" fillId="0" borderId="28" xfId="2" applyNumberFormat="1" applyFont="1" applyFill="1" applyBorder="1" applyAlignment="1" applyProtection="1">
      <alignment horizontal="center" wrapText="1"/>
    </xf>
    <xf numFmtId="1" fontId="55" fillId="0" borderId="66" xfId="2" applyNumberFormat="1" applyFont="1" applyFill="1" applyBorder="1" applyAlignment="1" applyProtection="1">
      <alignment horizontal="center" wrapText="1"/>
    </xf>
    <xf numFmtId="164" fontId="26" fillId="0" borderId="16" xfId="2" applyFont="1" applyFill="1" applyBorder="1" applyAlignment="1" applyProtection="1">
      <alignment horizontal="center" vertical="center" textRotation="90" wrapText="1"/>
    </xf>
    <xf numFmtId="164" fontId="26" fillId="0" borderId="17" xfId="2" applyFont="1" applyFill="1" applyBorder="1" applyAlignment="1" applyProtection="1">
      <alignment horizontal="center" vertical="center" textRotation="90" wrapText="1"/>
    </xf>
    <xf numFmtId="164" fontId="26" fillId="0" borderId="37" xfId="2" applyFont="1" applyFill="1" applyBorder="1" applyAlignment="1" applyProtection="1">
      <alignment horizontal="center" vertical="center" textRotation="90" wrapText="1"/>
    </xf>
    <xf numFmtId="164" fontId="26" fillId="0" borderId="22" xfId="2" applyFont="1" applyFill="1" applyBorder="1" applyAlignment="1" applyProtection="1">
      <alignment horizontal="center" vertical="center" textRotation="90" wrapText="1"/>
    </xf>
    <xf numFmtId="164" fontId="26" fillId="0" borderId="0" xfId="2" applyFont="1" applyFill="1" applyBorder="1" applyAlignment="1" applyProtection="1">
      <alignment horizontal="center" vertical="center" textRotation="90" wrapText="1"/>
    </xf>
    <xf numFmtId="164" fontId="26" fillId="0" borderId="38" xfId="2" applyFont="1" applyFill="1" applyBorder="1" applyAlignment="1" applyProtection="1">
      <alignment horizontal="center" vertical="center" textRotation="90" wrapText="1"/>
    </xf>
    <xf numFmtId="164" fontId="26" fillId="0" borderId="18" xfId="2" applyFont="1" applyFill="1" applyBorder="1" applyAlignment="1" applyProtection="1">
      <alignment horizontal="center" vertical="center" textRotation="90" wrapText="1"/>
    </xf>
    <xf numFmtId="164" fontId="26" fillId="0" borderId="19" xfId="2" applyFont="1" applyFill="1" applyBorder="1" applyAlignment="1" applyProtection="1">
      <alignment horizontal="center" vertical="center" textRotation="90" wrapText="1"/>
    </xf>
    <xf numFmtId="164" fontId="26" fillId="0" borderId="34" xfId="2" applyFont="1" applyFill="1" applyBorder="1" applyAlignment="1" applyProtection="1">
      <alignment horizontal="center" vertical="center" textRotation="90" wrapText="1"/>
    </xf>
    <xf numFmtId="164" fontId="27" fillId="0" borderId="16" xfId="2" applyFont="1" applyBorder="1" applyAlignment="1">
      <alignment horizontal="center" vertical="top"/>
    </xf>
    <xf numFmtId="164" fontId="27" fillId="0" borderId="17" xfId="2" applyFont="1" applyBorder="1" applyAlignment="1">
      <alignment horizontal="center" vertical="top"/>
    </xf>
    <xf numFmtId="164" fontId="27" fillId="0" borderId="37" xfId="2" applyFont="1" applyBorder="1" applyAlignment="1">
      <alignment horizontal="center" vertical="top"/>
    </xf>
    <xf numFmtId="3" fontId="14" fillId="0" borderId="22" xfId="2" applyNumberFormat="1" applyFont="1" applyFill="1" applyBorder="1" applyAlignment="1" applyProtection="1">
      <alignment horizontal="center" vertical="center"/>
      <protection locked="0"/>
    </xf>
    <xf numFmtId="3" fontId="14" fillId="0" borderId="0" xfId="2" applyNumberFormat="1" applyFont="1" applyFill="1" applyBorder="1" applyAlignment="1" applyProtection="1">
      <alignment horizontal="center" vertical="center"/>
      <protection locked="0"/>
    </xf>
    <xf numFmtId="3" fontId="14" fillId="0" borderId="80" xfId="2" applyNumberFormat="1" applyFont="1" applyFill="1" applyBorder="1" applyAlignment="1" applyProtection="1">
      <alignment horizontal="center" vertical="center"/>
      <protection locked="0"/>
    </xf>
    <xf numFmtId="3" fontId="14" fillId="0" borderId="1" xfId="2" applyNumberFormat="1" applyFont="1" applyFill="1" applyBorder="1" applyAlignment="1" applyProtection="1">
      <alignment horizontal="center" vertical="center"/>
      <protection locked="0"/>
    </xf>
    <xf numFmtId="3" fontId="14" fillId="0" borderId="38" xfId="2" applyNumberFormat="1" applyFont="1" applyFill="1" applyBorder="1" applyAlignment="1" applyProtection="1">
      <alignment horizontal="center" vertical="center"/>
      <protection locked="0"/>
    </xf>
    <xf numFmtId="3" fontId="14" fillId="0" borderId="79" xfId="2" applyNumberFormat="1" applyFont="1" applyFill="1" applyBorder="1" applyAlignment="1" applyProtection="1">
      <alignment horizontal="center" vertical="center"/>
      <protection locked="0"/>
    </xf>
    <xf numFmtId="3" fontId="14" fillId="0" borderId="28" xfId="2" applyNumberFormat="1" applyFont="1" applyFill="1" applyBorder="1" applyAlignment="1" applyProtection="1">
      <alignment horizontal="center" vertical="center"/>
      <protection locked="0"/>
    </xf>
    <xf numFmtId="3" fontId="25" fillId="0" borderId="81" xfId="2" applyNumberFormat="1" applyFont="1" applyFill="1" applyBorder="1" applyAlignment="1" applyProtection="1">
      <alignment horizontal="left" vertical="center"/>
    </xf>
    <xf numFmtId="3" fontId="25" fillId="0" borderId="66" xfId="2" applyNumberFormat="1" applyFont="1" applyFill="1" applyBorder="1" applyAlignment="1" applyProtection="1">
      <alignment horizontal="left" vertical="center"/>
    </xf>
    <xf numFmtId="3" fontId="4" fillId="0" borderId="91" xfId="2" applyNumberFormat="1" applyFont="1" applyFill="1" applyBorder="1" applyAlignment="1" applyProtection="1">
      <alignment horizontal="center" vertical="center"/>
    </xf>
    <xf numFmtId="3" fontId="4" fillId="0" borderId="92" xfId="2" applyNumberFormat="1" applyFont="1" applyFill="1" applyBorder="1" applyAlignment="1" applyProtection="1">
      <alignment horizontal="center" vertical="center"/>
    </xf>
    <xf numFmtId="3" fontId="72" fillId="2" borderId="101" xfId="2" applyNumberFormat="1" applyFont="1" applyFill="1" applyBorder="1" applyAlignment="1" applyProtection="1">
      <alignment horizontal="center" vertical="center"/>
      <protection locked="0"/>
    </xf>
    <xf numFmtId="3" fontId="72" fillId="2" borderId="30" xfId="2" applyNumberFormat="1" applyFont="1" applyFill="1" applyBorder="1" applyAlignment="1" applyProtection="1">
      <alignment horizontal="center" vertical="center"/>
      <protection locked="0"/>
    </xf>
    <xf numFmtId="3" fontId="72" fillId="2" borderId="57" xfId="2" applyNumberFormat="1" applyFont="1" applyFill="1" applyBorder="1" applyAlignment="1" applyProtection="1">
      <alignment horizontal="center" vertical="center"/>
      <protection locked="0"/>
    </xf>
    <xf numFmtId="3" fontId="4" fillId="0" borderId="91" xfId="2" applyNumberFormat="1" applyFont="1" applyFill="1" applyBorder="1" applyAlignment="1" applyProtection="1">
      <alignment horizontal="right" vertical="center"/>
    </xf>
    <xf numFmtId="3" fontId="4" fillId="0" borderId="92" xfId="2" applyNumberFormat="1" applyFont="1" applyFill="1" applyBorder="1" applyAlignment="1" applyProtection="1">
      <alignment horizontal="right" vertical="center"/>
    </xf>
    <xf numFmtId="3" fontId="4" fillId="0" borderId="93" xfId="2" applyNumberFormat="1" applyFont="1" applyFill="1" applyBorder="1" applyAlignment="1" applyProtection="1">
      <alignment horizontal="right" vertical="center"/>
    </xf>
    <xf numFmtId="3" fontId="4" fillId="0" borderId="94" xfId="2" applyNumberFormat="1" applyFont="1" applyFill="1" applyBorder="1" applyAlignment="1" applyProtection="1">
      <alignment horizontal="right" vertical="center"/>
    </xf>
    <xf numFmtId="3" fontId="4" fillId="0" borderId="93" xfId="2" applyNumberFormat="1" applyFont="1" applyFill="1" applyBorder="1" applyAlignment="1" applyProtection="1">
      <alignment horizontal="center" vertical="center"/>
    </xf>
    <xf numFmtId="3" fontId="4" fillId="0" borderId="94" xfId="2" applyNumberFormat="1" applyFont="1" applyFill="1" applyBorder="1" applyAlignment="1" applyProtection="1">
      <alignment horizontal="center" vertical="center"/>
    </xf>
    <xf numFmtId="3" fontId="14" fillId="0" borderId="81" xfId="2" applyNumberFormat="1" applyFont="1" applyFill="1" applyBorder="1" applyAlignment="1" applyProtection="1">
      <alignment horizontal="center" vertical="center"/>
      <protection locked="0"/>
    </xf>
    <xf numFmtId="3" fontId="14" fillId="0" borderId="32" xfId="2" applyNumberFormat="1" applyFont="1" applyFill="1" applyBorder="1" applyAlignment="1" applyProtection="1">
      <alignment horizontal="center" vertical="center"/>
      <protection locked="0"/>
    </xf>
    <xf numFmtId="3" fontId="14" fillId="0" borderId="66" xfId="2" applyNumberFormat="1" applyFont="1" applyFill="1" applyBorder="1" applyAlignment="1" applyProtection="1">
      <alignment horizontal="center" vertical="center"/>
      <protection locked="0"/>
    </xf>
    <xf numFmtId="165" fontId="25" fillId="2" borderId="82" xfId="2" applyNumberFormat="1" applyFont="1" applyFill="1" applyBorder="1" applyAlignment="1" applyProtection="1">
      <alignment horizontal="center" vertical="center"/>
      <protection locked="0"/>
    </xf>
    <xf numFmtId="165" fontId="25" fillId="2" borderId="83" xfId="2" applyNumberFormat="1" applyFont="1" applyFill="1" applyBorder="1" applyAlignment="1" applyProtection="1">
      <alignment horizontal="center" vertical="center"/>
      <protection locked="0"/>
    </xf>
    <xf numFmtId="3" fontId="25" fillId="2" borderId="84" xfId="2" applyNumberFormat="1" applyFont="1" applyFill="1" applyBorder="1" applyAlignment="1" applyProtection="1">
      <alignment horizontal="center" vertical="center"/>
      <protection locked="0"/>
    </xf>
    <xf numFmtId="3" fontId="25" fillId="2" borderId="83" xfId="2" applyNumberFormat="1" applyFont="1" applyFill="1" applyBorder="1" applyAlignment="1" applyProtection="1">
      <alignment horizontal="center" vertical="center"/>
      <protection locked="0"/>
    </xf>
    <xf numFmtId="3" fontId="25" fillId="2" borderId="85" xfId="2" applyNumberFormat="1" applyFont="1" applyFill="1" applyBorder="1" applyAlignment="1" applyProtection="1">
      <alignment horizontal="center" vertical="center"/>
      <protection locked="0"/>
    </xf>
    <xf numFmtId="3" fontId="25" fillId="2" borderId="86" xfId="2" applyNumberFormat="1" applyFont="1" applyFill="1" applyBorder="1" applyAlignment="1" applyProtection="1">
      <alignment horizontal="center" vertical="center"/>
      <protection locked="0"/>
    </xf>
    <xf numFmtId="164" fontId="52" fillId="0" borderId="139" xfId="0" applyFont="1" applyBorder="1" applyAlignment="1">
      <alignment horizontal="center" vertical="center"/>
    </xf>
    <xf numFmtId="164" fontId="0" fillId="0" borderId="42" xfId="0" applyBorder="1"/>
    <xf numFmtId="164" fontId="0" fillId="0" borderId="43" xfId="0" applyBorder="1"/>
    <xf numFmtId="165" fontId="84" fillId="2" borderId="136" xfId="0" applyNumberFormat="1" applyFont="1" applyFill="1" applyBorder="1" applyAlignment="1" applyProtection="1">
      <alignment horizontal="center" vertical="center"/>
      <protection locked="0"/>
    </xf>
    <xf numFmtId="164" fontId="83" fillId="0" borderId="7" xfId="0" applyFont="1" applyBorder="1" applyProtection="1">
      <protection locked="0"/>
    </xf>
    <xf numFmtId="164" fontId="83" fillId="0" borderId="137" xfId="0" applyFont="1" applyBorder="1" applyProtection="1">
      <protection locked="0"/>
    </xf>
    <xf numFmtId="3" fontId="71" fillId="2" borderId="138" xfId="0" applyNumberFormat="1" applyFont="1" applyFill="1" applyBorder="1" applyAlignment="1" applyProtection="1">
      <alignment horizontal="center" vertical="center"/>
      <protection locked="0"/>
    </xf>
    <xf numFmtId="164" fontId="83" fillId="2" borderId="35" xfId="0" applyFont="1" applyFill="1" applyBorder="1" applyAlignment="1" applyProtection="1">
      <alignment vertical="center"/>
      <protection locked="0"/>
    </xf>
    <xf numFmtId="164" fontId="83" fillId="2" borderId="36" xfId="0" applyFont="1" applyFill="1" applyBorder="1" applyAlignment="1" applyProtection="1">
      <alignment vertical="center"/>
      <protection locked="0"/>
    </xf>
    <xf numFmtId="164" fontId="83" fillId="2" borderId="140" xfId="0" applyFont="1" applyFill="1" applyBorder="1" applyAlignment="1" applyProtection="1">
      <alignment vertical="center"/>
      <protection locked="0"/>
    </xf>
    <xf numFmtId="164" fontId="83" fillId="2" borderId="10" xfId="0" applyFont="1" applyFill="1" applyBorder="1" applyAlignment="1" applyProtection="1">
      <alignment vertical="center"/>
      <protection locked="0"/>
    </xf>
    <xf numFmtId="164" fontId="83" fillId="2" borderId="44" xfId="0" applyFont="1" applyFill="1" applyBorder="1" applyAlignment="1" applyProtection="1">
      <alignment vertical="center"/>
      <protection locked="0"/>
    </xf>
    <xf numFmtId="3" fontId="71" fillId="2" borderId="122" xfId="0" applyNumberFormat="1" applyFont="1" applyFill="1" applyBorder="1" applyAlignment="1" applyProtection="1">
      <alignment horizontal="center" vertical="center"/>
      <protection locked="0"/>
    </xf>
    <xf numFmtId="164" fontId="83" fillId="2" borderId="102" xfId="0" applyFont="1" applyFill="1" applyBorder="1" applyAlignment="1" applyProtection="1">
      <alignment vertical="center"/>
      <protection locked="0"/>
    </xf>
    <xf numFmtId="164" fontId="83" fillId="2" borderId="67" xfId="0" applyFont="1" applyFill="1" applyBorder="1" applyAlignment="1" applyProtection="1">
      <alignment vertical="center"/>
      <protection locked="0"/>
    </xf>
    <xf numFmtId="164" fontId="83" fillId="2" borderId="134" xfId="0" applyFont="1" applyFill="1" applyBorder="1" applyAlignment="1" applyProtection="1">
      <alignment vertical="center"/>
      <protection locked="0"/>
    </xf>
    <xf numFmtId="164" fontId="83" fillId="2" borderId="19" xfId="0" applyFont="1" applyFill="1" applyBorder="1" applyAlignment="1" applyProtection="1">
      <alignment vertical="center"/>
      <protection locked="0"/>
    </xf>
    <xf numFmtId="164" fontId="83" fillId="2" borderId="34" xfId="0" applyFont="1" applyFill="1" applyBorder="1" applyAlignment="1" applyProtection="1">
      <alignment vertical="center"/>
      <protection locked="0"/>
    </xf>
    <xf numFmtId="164" fontId="66" fillId="0" borderId="0" xfId="0" applyFont="1" applyBorder="1" applyAlignment="1">
      <alignment horizontal="center"/>
    </xf>
    <xf numFmtId="164" fontId="27" fillId="0" borderId="132" xfId="2" applyFont="1" applyBorder="1" applyAlignment="1">
      <alignment horizontal="right" vertical="center"/>
    </xf>
    <xf numFmtId="164" fontId="27" fillId="0" borderId="133" xfId="2" applyFont="1" applyBorder="1" applyAlignment="1">
      <alignment horizontal="right" vertical="center"/>
    </xf>
    <xf numFmtId="3" fontId="71" fillId="2" borderId="166" xfId="2" applyNumberFormat="1" applyFont="1" applyFill="1" applyBorder="1" applyAlignment="1" applyProtection="1">
      <alignment horizontal="center" vertical="center"/>
      <protection locked="0"/>
    </xf>
    <xf numFmtId="3" fontId="71" fillId="2" borderId="124" xfId="2" applyNumberFormat="1" applyFont="1" applyFill="1" applyBorder="1" applyAlignment="1" applyProtection="1">
      <alignment horizontal="center" vertical="center"/>
      <protection locked="0"/>
    </xf>
    <xf numFmtId="3" fontId="71" fillId="2" borderId="168" xfId="2" applyNumberFormat="1" applyFont="1" applyFill="1" applyBorder="1" applyAlignment="1" applyProtection="1">
      <alignment horizontal="center" vertical="center"/>
      <protection locked="0"/>
    </xf>
    <xf numFmtId="3" fontId="71" fillId="2" borderId="40" xfId="2" applyNumberFormat="1" applyFont="1" applyFill="1" applyBorder="1" applyAlignment="1" applyProtection="1">
      <alignment horizontal="center" vertical="center"/>
      <protection locked="0"/>
    </xf>
    <xf numFmtId="3" fontId="71" fillId="2" borderId="143" xfId="2" applyNumberFormat="1" applyFont="1" applyFill="1" applyBorder="1" applyAlignment="1" applyProtection="1">
      <alignment horizontal="center" vertical="center"/>
      <protection locked="0"/>
    </xf>
    <xf numFmtId="3" fontId="71" fillId="2" borderId="59" xfId="2" applyNumberFormat="1" applyFont="1" applyFill="1" applyBorder="1" applyAlignment="1" applyProtection="1">
      <alignment horizontal="center" vertical="center"/>
      <protection locked="0"/>
    </xf>
    <xf numFmtId="164" fontId="14" fillId="0" borderId="130" xfId="2" applyFont="1" applyBorder="1" applyAlignment="1" applyProtection="1">
      <alignment horizontal="right" vertical="center"/>
      <protection hidden="1"/>
    </xf>
    <xf numFmtId="164" fontId="14" fillId="0" borderId="131" xfId="2" applyFont="1" applyBorder="1" applyAlignment="1" applyProtection="1">
      <alignment horizontal="right" vertical="center"/>
      <protection hidden="1"/>
    </xf>
    <xf numFmtId="3" fontId="71" fillId="2" borderId="167" xfId="2" applyNumberFormat="1" applyFont="1" applyFill="1" applyBorder="1" applyAlignment="1" applyProtection="1">
      <alignment horizontal="center" vertical="center"/>
      <protection locked="0"/>
    </xf>
    <xf numFmtId="3" fontId="71" fillId="2" borderId="33" xfId="2" applyNumberFormat="1" applyFont="1" applyFill="1" applyBorder="1" applyAlignment="1" applyProtection="1">
      <alignment horizontal="center" vertical="center"/>
      <protection locked="0"/>
    </xf>
    <xf numFmtId="3" fontId="71" fillId="2" borderId="52" xfId="2" applyNumberFormat="1" applyFont="1" applyFill="1" applyBorder="1" applyAlignment="1" applyProtection="1">
      <alignment horizontal="center" vertical="center"/>
      <protection locked="0"/>
    </xf>
    <xf numFmtId="164" fontId="14" fillId="0" borderId="16" xfId="2" applyFont="1" applyBorder="1" applyAlignment="1">
      <alignment horizontal="center" vertical="center" wrapText="1"/>
    </xf>
    <xf numFmtId="164" fontId="14" fillId="0" borderId="17" xfId="2" applyFont="1" applyBorder="1" applyAlignment="1">
      <alignment horizontal="center" vertical="center" wrapText="1"/>
    </xf>
    <xf numFmtId="164" fontId="14" fillId="0" borderId="128" xfId="2" applyFont="1" applyBorder="1" applyAlignment="1">
      <alignment horizontal="center" vertical="center" wrapText="1"/>
    </xf>
    <xf numFmtId="164" fontId="14" fillId="0" borderId="79" xfId="2" applyFont="1" applyBorder="1" applyAlignment="1">
      <alignment horizontal="center" vertical="center" wrapText="1"/>
    </xf>
    <xf numFmtId="164" fontId="14" fillId="0" borderId="28" xfId="2" applyFont="1" applyBorder="1" applyAlignment="1">
      <alignment horizontal="center" vertical="center" wrapText="1"/>
    </xf>
    <xf numFmtId="164" fontId="14" fillId="0" borderId="129" xfId="2" applyFont="1" applyBorder="1" applyAlignment="1">
      <alignment horizontal="center" vertical="center" wrapText="1"/>
    </xf>
    <xf numFmtId="164" fontId="0" fillId="0" borderId="0" xfId="0" applyAlignment="1">
      <alignment horizontal="center" vertical="center"/>
    </xf>
    <xf numFmtId="164" fontId="14" fillId="0" borderId="165" xfId="2" applyFont="1" applyBorder="1" applyAlignment="1">
      <alignment horizontal="center" vertical="center"/>
    </xf>
    <xf numFmtId="164" fontId="14" fillId="0" borderId="17" xfId="2" applyFont="1" applyBorder="1" applyAlignment="1">
      <alignment horizontal="center" vertical="center"/>
    </xf>
    <xf numFmtId="164" fontId="14" fillId="0" borderId="37" xfId="2" applyFont="1" applyBorder="1" applyAlignment="1">
      <alignment horizontal="center" vertical="center"/>
    </xf>
    <xf numFmtId="165" fontId="84" fillId="2" borderId="135" xfId="2" applyNumberFormat="1" applyFont="1" applyFill="1" applyBorder="1" applyAlignment="1" applyProtection="1">
      <alignment horizontal="center" vertical="center" wrapText="1"/>
      <protection locked="0"/>
    </xf>
    <xf numFmtId="165" fontId="84" fillId="2" borderId="9" xfId="2" applyNumberFormat="1" applyFont="1" applyFill="1" applyBorder="1" applyAlignment="1" applyProtection="1">
      <alignment horizontal="center" vertical="center" wrapText="1"/>
      <protection locked="0"/>
    </xf>
    <xf numFmtId="165" fontId="84" fillId="2" borderId="8" xfId="2" applyNumberFormat="1" applyFont="1" applyFill="1" applyBorder="1" applyAlignment="1" applyProtection="1">
      <alignment horizontal="center" vertical="center" wrapText="1"/>
      <protection locked="0"/>
    </xf>
    <xf numFmtId="165" fontId="84" fillId="2" borderId="8" xfId="2" applyNumberFormat="1" applyFont="1" applyFill="1" applyBorder="1" applyAlignment="1" applyProtection="1">
      <alignment horizontal="center" vertical="center"/>
      <protection locked="0"/>
    </xf>
    <xf numFmtId="165" fontId="84" fillId="2" borderId="137" xfId="2" applyNumberFormat="1" applyFont="1" applyFill="1" applyBorder="1" applyAlignment="1" applyProtection="1">
      <alignment horizontal="center" vertical="center"/>
      <protection locked="0"/>
    </xf>
    <xf numFmtId="164" fontId="61" fillId="0" borderId="126" xfId="0" applyFont="1" applyBorder="1" applyAlignment="1">
      <alignment horizontal="center" vertical="center"/>
    </xf>
    <xf numFmtId="164" fontId="61" fillId="0" borderId="127" xfId="0" applyFont="1" applyBorder="1" applyAlignment="1">
      <alignment horizontal="center" vertical="center"/>
    </xf>
    <xf numFmtId="164" fontId="61" fillId="0" borderId="70" xfId="0" applyFont="1" applyBorder="1" applyAlignment="1">
      <alignment horizontal="center" vertical="center"/>
    </xf>
    <xf numFmtId="164" fontId="61" fillId="0" borderId="1" xfId="0" applyFont="1" applyBorder="1" applyAlignment="1">
      <alignment horizontal="center" vertical="center"/>
    </xf>
    <xf numFmtId="164" fontId="61" fillId="0" borderId="26" xfId="0" applyFont="1" applyBorder="1" applyAlignment="1">
      <alignment horizontal="center" vertical="center"/>
    </xf>
    <xf numFmtId="164" fontId="61" fillId="0" borderId="29" xfId="0" applyFont="1" applyBorder="1" applyAlignment="1">
      <alignment horizontal="center" vertical="center"/>
    </xf>
    <xf numFmtId="164" fontId="61" fillId="0" borderId="36" xfId="0" applyFont="1" applyBorder="1" applyAlignment="1">
      <alignment horizontal="center" vertical="center"/>
    </xf>
    <xf numFmtId="164" fontId="61" fillId="0" borderId="38" xfId="0" applyFont="1" applyBorder="1" applyAlignment="1">
      <alignment horizontal="center" vertical="center"/>
    </xf>
    <xf numFmtId="164" fontId="61" fillId="0" borderId="34" xfId="0" applyFont="1" applyBorder="1" applyAlignment="1">
      <alignment horizontal="center" vertical="center"/>
    </xf>
    <xf numFmtId="164" fontId="54" fillId="0" borderId="0" xfId="0" applyFont="1" applyBorder="1" applyAlignment="1">
      <alignment horizontal="right" vertical="top" wrapText="1"/>
    </xf>
    <xf numFmtId="164" fontId="52" fillId="0" borderId="0" xfId="0" applyFont="1" applyBorder="1" applyAlignment="1">
      <alignment horizontal="left" vertical="top"/>
    </xf>
    <xf numFmtId="164" fontId="52" fillId="0" borderId="1" xfId="0" applyFont="1" applyBorder="1" applyAlignment="1">
      <alignment horizontal="left" vertical="top"/>
    </xf>
    <xf numFmtId="164" fontId="54" fillId="0" borderId="0" xfId="0" applyFont="1" applyBorder="1" applyAlignment="1">
      <alignment horizontal="right" vertical="top"/>
    </xf>
    <xf numFmtId="164" fontId="61" fillId="0" borderId="16" xfId="0" applyFont="1" applyBorder="1" applyAlignment="1">
      <alignment horizontal="center" vertical="center"/>
    </xf>
    <xf numFmtId="164" fontId="61" fillId="0" borderId="17" xfId="0" applyFont="1" applyBorder="1" applyAlignment="1">
      <alignment horizontal="center" vertical="center"/>
    </xf>
    <xf numFmtId="164" fontId="61" fillId="0" borderId="21" xfId="0" applyFont="1" applyBorder="1" applyAlignment="1">
      <alignment horizontal="center" vertical="center"/>
    </xf>
    <xf numFmtId="164" fontId="61" fillId="0" borderId="22" xfId="0" applyFont="1" applyBorder="1" applyAlignment="1">
      <alignment horizontal="center" vertical="center"/>
    </xf>
    <xf numFmtId="164" fontId="61" fillId="0" borderId="0" xfId="0" applyFont="1" applyBorder="1" applyAlignment="1">
      <alignment horizontal="center" vertical="center"/>
    </xf>
    <xf numFmtId="164" fontId="61" fillId="0" borderId="79" xfId="0" applyFont="1" applyBorder="1" applyAlignment="1">
      <alignment horizontal="center" vertical="center"/>
    </xf>
    <xf numFmtId="164" fontId="61" fillId="0" borderId="28" xfId="0" applyFont="1" applyBorder="1" applyAlignment="1">
      <alignment horizontal="center" vertical="center"/>
    </xf>
    <xf numFmtId="164" fontId="61" fillId="0" borderId="32" xfId="0" applyFont="1" applyBorder="1" applyAlignment="1">
      <alignment horizontal="center" vertical="center"/>
    </xf>
    <xf numFmtId="164" fontId="57" fillId="0" borderId="20" xfId="0" applyFont="1" applyBorder="1" applyAlignment="1">
      <alignment horizontal="center" vertical="center"/>
    </xf>
    <xf numFmtId="164" fontId="57" fillId="0" borderId="17" xfId="0" applyFont="1" applyBorder="1" applyAlignment="1">
      <alignment horizontal="center" vertical="center"/>
    </xf>
    <xf numFmtId="164" fontId="57" fillId="0" borderId="37" xfId="0" applyFont="1" applyBorder="1" applyAlignment="1">
      <alignment horizontal="center" vertical="center"/>
    </xf>
    <xf numFmtId="164" fontId="57" fillId="0" borderId="70" xfId="0" applyFont="1" applyBorder="1" applyAlignment="1">
      <alignment horizontal="center" vertical="center"/>
    </xf>
    <xf numFmtId="164" fontId="57" fillId="0" borderId="0" xfId="0" applyFont="1" applyBorder="1" applyAlignment="1">
      <alignment horizontal="center" vertical="center"/>
    </xf>
    <xf numFmtId="164" fontId="57" fillId="0" borderId="38" xfId="0" applyFont="1" applyBorder="1" applyAlignment="1">
      <alignment horizontal="center" vertical="center"/>
    </xf>
    <xf numFmtId="164" fontId="57" fillId="0" borderId="39" xfId="0" applyFont="1" applyBorder="1" applyAlignment="1">
      <alignment horizontal="center" vertical="center"/>
    </xf>
    <xf numFmtId="164" fontId="57" fillId="0" borderId="28" xfId="0" applyFont="1" applyBorder="1" applyAlignment="1">
      <alignment horizontal="center" vertical="center"/>
    </xf>
    <xf numFmtId="164" fontId="57" fillId="0" borderId="66" xfId="0" applyFont="1" applyBorder="1" applyAlignment="1">
      <alignment horizontal="center" vertical="center"/>
    </xf>
    <xf numFmtId="166" fontId="0" fillId="0" borderId="0" xfId="0" applyNumberFormat="1" applyAlignment="1">
      <alignment horizontal="center"/>
    </xf>
    <xf numFmtId="164" fontId="82" fillId="2" borderId="144" xfId="0" applyFont="1" applyFill="1" applyBorder="1" applyAlignment="1" applyProtection="1">
      <alignment horizontal="center" vertical="center"/>
      <protection locked="0"/>
    </xf>
    <xf numFmtId="164" fontId="82" fillId="2" borderId="46" xfId="0" applyFont="1" applyFill="1" applyBorder="1" applyAlignment="1" applyProtection="1">
      <alignment horizontal="center" vertical="center"/>
      <protection locked="0"/>
    </xf>
    <xf numFmtId="164" fontId="82" fillId="2" borderId="101" xfId="0" applyFont="1" applyFill="1" applyBorder="1" applyAlignment="1" applyProtection="1">
      <alignment horizontal="center" vertical="center"/>
      <protection locked="0"/>
    </xf>
    <xf numFmtId="164" fontId="82" fillId="2" borderId="124" xfId="0" applyFont="1" applyFill="1" applyBorder="1" applyAlignment="1" applyProtection="1">
      <alignment horizontal="center" vertical="center"/>
      <protection locked="0"/>
    </xf>
    <xf numFmtId="164" fontId="82" fillId="2" borderId="106" xfId="0" applyFont="1" applyFill="1" applyBorder="1" applyAlignment="1" applyProtection="1">
      <alignment horizontal="center" vertical="center"/>
      <protection locked="0"/>
    </xf>
    <xf numFmtId="164" fontId="82" fillId="2" borderId="31" xfId="0" applyFont="1" applyFill="1" applyBorder="1" applyAlignment="1" applyProtection="1">
      <alignment horizontal="center" vertical="center"/>
      <protection locked="0"/>
    </xf>
    <xf numFmtId="164" fontId="15" fillId="0" borderId="46" xfId="0" applyFont="1" applyFill="1" applyBorder="1" applyAlignment="1" applyProtection="1">
      <alignment horizontal="center" vertical="center"/>
    </xf>
    <xf numFmtId="164" fontId="15" fillId="0" borderId="51" xfId="0" applyFont="1" applyFill="1" applyBorder="1" applyAlignment="1" applyProtection="1">
      <alignment horizontal="center" vertical="center"/>
    </xf>
    <xf numFmtId="164" fontId="15" fillId="0" borderId="124" xfId="0" applyFont="1" applyFill="1" applyBorder="1" applyAlignment="1" applyProtection="1">
      <alignment horizontal="center" vertical="center"/>
    </xf>
    <xf numFmtId="164" fontId="15" fillId="0" borderId="143" xfId="0" applyFont="1" applyFill="1" applyBorder="1" applyAlignment="1" applyProtection="1">
      <alignment horizontal="center" vertical="center"/>
    </xf>
    <xf numFmtId="164" fontId="15" fillId="0" borderId="31" xfId="0" applyFont="1" applyFill="1" applyBorder="1" applyAlignment="1" applyProtection="1">
      <alignment horizontal="center" vertical="center"/>
    </xf>
    <xf numFmtId="164" fontId="15" fillId="0" borderId="58" xfId="0" applyFont="1" applyFill="1" applyBorder="1" applyAlignment="1" applyProtection="1">
      <alignment horizontal="center" vertical="center"/>
    </xf>
    <xf numFmtId="0" fontId="53" fillId="0" borderId="0" xfId="0" applyNumberFormat="1" applyFont="1" applyBorder="1" applyAlignment="1">
      <alignment horizontal="left" vertical="top" wrapText="1"/>
    </xf>
    <xf numFmtId="164" fontId="57" fillId="0" borderId="138" xfId="0" applyFont="1" applyBorder="1" applyAlignment="1">
      <alignment horizontal="center" vertical="center"/>
    </xf>
    <xf numFmtId="164" fontId="57" fillId="0" borderId="127" xfId="0" applyFont="1" applyBorder="1" applyAlignment="1">
      <alignment horizontal="center" vertical="center"/>
    </xf>
    <xf numFmtId="164" fontId="57" fillId="0" borderId="80" xfId="0" applyFont="1" applyBorder="1" applyAlignment="1">
      <alignment horizontal="center" vertical="center"/>
    </xf>
    <xf numFmtId="164" fontId="57" fillId="0" borderId="1" xfId="0" applyFont="1" applyBorder="1" applyAlignment="1">
      <alignment horizontal="center" vertical="center"/>
    </xf>
    <xf numFmtId="164" fontId="57" fillId="0" borderId="81" xfId="0" applyFont="1" applyBorder="1" applyAlignment="1">
      <alignment horizontal="center" vertical="center"/>
    </xf>
    <xf numFmtId="164" fontId="57" fillId="0" borderId="32" xfId="0" applyFont="1" applyBorder="1" applyAlignment="1">
      <alignment horizontal="center" vertical="center"/>
    </xf>
    <xf numFmtId="164" fontId="57" fillId="0" borderId="126" xfId="0" applyFont="1" applyBorder="1" applyAlignment="1">
      <alignment horizontal="center" vertical="center"/>
    </xf>
    <xf numFmtId="164" fontId="57" fillId="0" borderId="36" xfId="0" applyFont="1" applyBorder="1" applyAlignment="1">
      <alignment horizontal="center" vertical="center"/>
    </xf>
    <xf numFmtId="1" fontId="71" fillId="2" borderId="178" xfId="0" applyNumberFormat="1" applyFont="1" applyFill="1" applyBorder="1" applyAlignment="1" applyProtection="1">
      <alignment horizontal="center" vertical="center"/>
      <protection locked="0"/>
    </xf>
    <xf numFmtId="1" fontId="71" fillId="2" borderId="179" xfId="0" applyNumberFormat="1" applyFont="1" applyFill="1" applyBorder="1" applyAlignment="1" applyProtection="1">
      <alignment horizontal="center" vertical="center"/>
      <protection locked="0"/>
    </xf>
    <xf numFmtId="1" fontId="71" fillId="2" borderId="180" xfId="0" applyNumberFormat="1" applyFont="1" applyFill="1" applyBorder="1" applyAlignment="1" applyProtection="1">
      <alignment horizontal="center" vertical="center"/>
      <protection locked="0"/>
    </xf>
    <xf numFmtId="1" fontId="71" fillId="2" borderId="174" xfId="0" applyNumberFormat="1" applyFont="1" applyFill="1" applyBorder="1" applyAlignment="1" applyProtection="1">
      <alignment horizontal="center" vertical="center"/>
      <protection locked="0"/>
    </xf>
    <xf numFmtId="1" fontId="71" fillId="2" borderId="175" xfId="0" applyNumberFormat="1" applyFont="1" applyFill="1" applyBorder="1" applyAlignment="1" applyProtection="1">
      <alignment horizontal="center" vertical="center"/>
      <protection locked="0"/>
    </xf>
    <xf numFmtId="1" fontId="71" fillId="2" borderId="177" xfId="0" applyNumberFormat="1" applyFont="1" applyFill="1" applyBorder="1" applyAlignment="1" applyProtection="1">
      <alignment horizontal="center" vertical="center"/>
      <protection locked="0"/>
    </xf>
    <xf numFmtId="0" fontId="53" fillId="0" borderId="35" xfId="0" applyNumberFormat="1" applyFont="1" applyBorder="1" applyAlignment="1">
      <alignment horizontal="left" vertical="center" wrapText="1"/>
    </xf>
    <xf numFmtId="0" fontId="53" fillId="0" borderId="0" xfId="0" applyNumberFormat="1" applyFont="1" applyBorder="1" applyAlignment="1">
      <alignment horizontal="left" vertical="center" wrapText="1"/>
    </xf>
    <xf numFmtId="0" fontId="53" fillId="0" borderId="28" xfId="0" applyNumberFormat="1" applyFont="1" applyBorder="1" applyAlignment="1">
      <alignment horizontal="left" vertical="center" wrapText="1"/>
    </xf>
    <xf numFmtId="1" fontId="0" fillId="0" borderId="0" xfId="0" applyNumberFormat="1" applyAlignment="1">
      <alignment horizontal="center"/>
    </xf>
    <xf numFmtId="164" fontId="52" fillId="0" borderId="22" xfId="0" quotePrefix="1" applyFont="1" applyBorder="1" applyAlignment="1">
      <alignment horizontal="center" vertical="top"/>
    </xf>
    <xf numFmtId="164" fontId="53" fillId="0" borderId="0" xfId="0" applyFont="1" applyBorder="1" applyAlignment="1">
      <alignment horizontal="right" vertical="top" wrapText="1"/>
    </xf>
    <xf numFmtId="164" fontId="52" fillId="0" borderId="70" xfId="0" applyFont="1" applyBorder="1" applyAlignment="1">
      <alignment horizontal="left" vertical="center"/>
    </xf>
    <xf numFmtId="164" fontId="52" fillId="0" borderId="6" xfId="0" applyFont="1" applyBorder="1" applyAlignment="1">
      <alignment horizontal="left" vertical="center"/>
    </xf>
    <xf numFmtId="164" fontId="52" fillId="0" borderId="1" xfId="0" applyFont="1" applyBorder="1" applyAlignment="1">
      <alignment horizontal="left" vertical="center"/>
    </xf>
    <xf numFmtId="164" fontId="53" fillId="0" borderId="35" xfId="0" applyFont="1" applyBorder="1" applyAlignment="1">
      <alignment horizontal="left" vertical="top" wrapText="1"/>
    </xf>
    <xf numFmtId="164" fontId="53" fillId="0" borderId="127" xfId="0" applyFont="1" applyBorder="1" applyAlignment="1">
      <alignment horizontal="left" vertical="top" wrapText="1"/>
    </xf>
    <xf numFmtId="164" fontId="53" fillId="0" borderId="0" xfId="0" applyFont="1" applyBorder="1" applyAlignment="1">
      <alignment horizontal="left" vertical="top" wrapText="1"/>
    </xf>
    <xf numFmtId="164" fontId="53" fillId="0" borderId="1" xfId="0" applyFont="1" applyBorder="1" applyAlignment="1">
      <alignment horizontal="left" vertical="top" wrapText="1"/>
    </xf>
    <xf numFmtId="164" fontId="53" fillId="0" borderId="28" xfId="0" applyFont="1" applyBorder="1" applyAlignment="1">
      <alignment horizontal="left" vertical="top" wrapText="1"/>
    </xf>
    <xf numFmtId="164" fontId="53" fillId="0" borderId="32" xfId="0" applyFont="1" applyBorder="1" applyAlignment="1">
      <alignment horizontal="left" vertical="top" wrapText="1"/>
    </xf>
    <xf numFmtId="164" fontId="41" fillId="0" borderId="126" xfId="0" applyFont="1" applyBorder="1" applyAlignment="1">
      <alignment horizontal="center"/>
    </xf>
    <xf numFmtId="164" fontId="41" fillId="0" borderId="35" xfId="0" applyFont="1" applyBorder="1" applyAlignment="1">
      <alignment horizontal="center"/>
    </xf>
    <xf numFmtId="164" fontId="41" fillId="0" borderId="141" xfId="0" applyFont="1" applyBorder="1" applyAlignment="1">
      <alignment horizontal="center"/>
    </xf>
    <xf numFmtId="164" fontId="41" fillId="0" borderId="14" xfId="0" applyFont="1" applyBorder="1" applyAlignment="1">
      <alignment horizontal="center"/>
    </xf>
    <xf numFmtId="164" fontId="41" fillId="0" borderId="10" xfId="0" applyFont="1" applyBorder="1" applyAlignment="1">
      <alignment horizontal="center"/>
    </xf>
    <xf numFmtId="164" fontId="41" fillId="0" borderId="15" xfId="0" applyFont="1" applyBorder="1" applyAlignment="1">
      <alignment horizontal="center"/>
    </xf>
    <xf numFmtId="164" fontId="41" fillId="0" borderId="120" xfId="0" applyFont="1" applyBorder="1" applyAlignment="1">
      <alignment horizontal="center"/>
    </xf>
    <xf numFmtId="164" fontId="53" fillId="0" borderId="0" xfId="0" applyFont="1" applyBorder="1" applyAlignment="1">
      <alignment horizontal="right" vertical="center" wrapText="1"/>
    </xf>
    <xf numFmtId="164" fontId="41" fillId="0" borderId="179" xfId="0" applyFont="1" applyBorder="1" applyAlignment="1">
      <alignment horizontal="right" vertical="center" wrapText="1"/>
    </xf>
    <xf numFmtId="164" fontId="41" fillId="0" borderId="180" xfId="0" applyFont="1" applyBorder="1" applyAlignment="1">
      <alignment horizontal="right" vertical="center" wrapText="1"/>
    </xf>
    <xf numFmtId="1" fontId="71" fillId="2" borderId="176" xfId="0" applyNumberFormat="1" applyFont="1" applyFill="1" applyBorder="1" applyAlignment="1" applyProtection="1">
      <alignment horizontal="center" vertical="center"/>
      <protection locked="0"/>
    </xf>
    <xf numFmtId="164" fontId="82" fillId="2" borderId="184" xfId="0" applyFont="1" applyFill="1" applyBorder="1" applyAlignment="1" applyProtection="1">
      <alignment horizontal="center" vertical="center"/>
      <protection locked="0"/>
    </xf>
    <xf numFmtId="164" fontId="82" fillId="2" borderId="77" xfId="0" applyFont="1" applyFill="1" applyBorder="1" applyAlignment="1" applyProtection="1">
      <alignment horizontal="center" vertical="center"/>
      <protection locked="0"/>
    </xf>
    <xf numFmtId="164" fontId="82" fillId="2" borderId="108" xfId="0" applyFont="1" applyFill="1" applyBorder="1" applyAlignment="1" applyProtection="1">
      <alignment horizontal="center" vertical="center"/>
      <protection locked="0"/>
    </xf>
    <xf numFmtId="164" fontId="82" fillId="2" borderId="87" xfId="0" applyFont="1" applyFill="1" applyBorder="1" applyAlignment="1" applyProtection="1">
      <alignment horizontal="center" vertical="center"/>
      <protection locked="0"/>
    </xf>
    <xf numFmtId="164" fontId="57" fillId="0" borderId="77" xfId="0" applyFont="1" applyBorder="1" applyAlignment="1">
      <alignment horizontal="center" vertical="center"/>
    </xf>
    <xf numFmtId="164" fontId="57" fillId="0" borderId="185" xfId="0" applyFont="1" applyBorder="1" applyAlignment="1">
      <alignment horizontal="center" vertical="center"/>
    </xf>
    <xf numFmtId="164" fontId="57" fillId="0" borderId="87" xfId="0" applyFont="1" applyBorder="1" applyAlignment="1">
      <alignment horizontal="center" vertical="center"/>
    </xf>
    <xf numFmtId="164" fontId="57" fillId="0" borderId="186" xfId="0" applyFont="1" applyBorder="1" applyAlignment="1">
      <alignment horizontal="center" vertical="center"/>
    </xf>
    <xf numFmtId="164" fontId="57" fillId="0" borderId="16" xfId="0" applyFont="1" applyBorder="1" applyAlignment="1">
      <alignment horizontal="center" vertical="center"/>
    </xf>
    <xf numFmtId="164" fontId="57" fillId="0" borderId="113" xfId="0" applyFont="1" applyBorder="1" applyAlignment="1">
      <alignment horizontal="center" vertical="center"/>
    </xf>
    <xf numFmtId="164" fontId="57" fillId="0" borderId="79" xfId="0" applyFont="1" applyBorder="1" applyAlignment="1">
      <alignment horizontal="center" vertical="center"/>
    </xf>
    <xf numFmtId="164" fontId="57" fillId="0" borderId="90" xfId="0" applyFont="1" applyBorder="1" applyAlignment="1">
      <alignment horizontal="center" vertical="center"/>
    </xf>
    <xf numFmtId="164" fontId="57" fillId="0" borderId="142" xfId="0" applyFont="1" applyBorder="1" applyAlignment="1">
      <alignment horizontal="center" vertical="center"/>
    </xf>
    <xf numFmtId="164" fontId="57" fillId="0" borderId="54" xfId="0" applyFont="1" applyBorder="1" applyAlignment="1">
      <alignment horizontal="center" vertical="center"/>
    </xf>
    <xf numFmtId="164" fontId="57" fillId="0" borderId="56" xfId="0" applyFont="1" applyBorder="1" applyAlignment="1">
      <alignment horizontal="center" vertical="center"/>
    </xf>
    <xf numFmtId="164" fontId="57" fillId="0" borderId="106" xfId="0" applyFont="1" applyBorder="1" applyAlignment="1">
      <alignment horizontal="center" vertical="center"/>
    </xf>
    <xf numFmtId="164" fontId="57" fillId="0" borderId="31" xfId="0" applyFont="1" applyBorder="1" applyAlignment="1">
      <alignment horizontal="center" vertical="center"/>
    </xf>
    <xf numFmtId="164" fontId="57" fillId="0" borderId="58" xfId="0" applyFont="1" applyBorder="1" applyAlignment="1">
      <alignment horizontal="center" vertical="center"/>
    </xf>
    <xf numFmtId="164" fontId="52" fillId="0" borderId="50" xfId="0" quotePrefix="1" applyFont="1" applyBorder="1" applyAlignment="1">
      <alignment horizontal="center" vertical="center"/>
    </xf>
    <xf numFmtId="164" fontId="52" fillId="0" borderId="22" xfId="0" quotePrefix="1" applyFont="1" applyBorder="1" applyAlignment="1">
      <alignment horizontal="center" vertical="center"/>
    </xf>
    <xf numFmtId="164" fontId="52" fillId="0" borderId="18" xfId="0" quotePrefix="1" applyFont="1" applyBorder="1" applyAlignment="1">
      <alignment horizontal="center" vertical="center"/>
    </xf>
    <xf numFmtId="164" fontId="53" fillId="0" borderId="6" xfId="0" applyFont="1" applyBorder="1" applyAlignment="1">
      <alignment horizontal="left" vertical="top" wrapText="1"/>
    </xf>
    <xf numFmtId="164" fontId="82" fillId="2" borderId="148" xfId="0" applyFont="1" applyFill="1" applyBorder="1" applyAlignment="1" applyProtection="1">
      <alignment horizontal="center" vertical="center"/>
      <protection locked="0"/>
    </xf>
    <xf numFmtId="164" fontId="82" fillId="2" borderId="116" xfId="0" applyFont="1" applyFill="1" applyBorder="1" applyAlignment="1" applyProtection="1">
      <alignment horizontal="center" vertical="center"/>
      <protection locked="0"/>
    </xf>
    <xf numFmtId="164" fontId="57" fillId="0" borderId="116" xfId="0" applyFont="1" applyBorder="1" applyAlignment="1">
      <alignment horizontal="center" vertical="center"/>
    </xf>
    <xf numFmtId="164" fontId="57" fillId="0" borderId="187" xfId="0" applyFont="1" applyBorder="1" applyAlignment="1">
      <alignment horizontal="center" vertical="center"/>
    </xf>
    <xf numFmtId="164" fontId="41" fillId="0" borderId="126" xfId="0" applyFont="1" applyBorder="1" applyAlignment="1">
      <alignment horizontal="center" vertical="center" wrapText="1"/>
    </xf>
    <xf numFmtId="164" fontId="41" fillId="0" borderId="35" xfId="0" applyFont="1" applyBorder="1" applyAlignment="1">
      <alignment horizontal="center" vertical="center" wrapText="1"/>
    </xf>
    <xf numFmtId="164" fontId="41" fillId="0" borderId="127" xfId="0" applyFont="1" applyBorder="1" applyAlignment="1">
      <alignment horizontal="center" vertical="center" wrapText="1"/>
    </xf>
    <xf numFmtId="164" fontId="41" fillId="0" borderId="14" xfId="0" applyFont="1" applyBorder="1" applyAlignment="1">
      <alignment horizontal="center" vertical="center" wrapText="1"/>
    </xf>
    <xf numFmtId="164" fontId="41" fillId="0" borderId="10" xfId="0" applyFont="1" applyBorder="1" applyAlignment="1">
      <alignment horizontal="center" vertical="center" wrapText="1"/>
    </xf>
    <xf numFmtId="164" fontId="41" fillId="0" borderId="15" xfId="0" applyFont="1" applyBorder="1" applyAlignment="1">
      <alignment horizontal="center" vertical="center" wrapText="1"/>
    </xf>
    <xf numFmtId="164" fontId="41" fillId="0" borderId="141" xfId="0" applyFont="1" applyBorder="1" applyAlignment="1">
      <alignment horizontal="center" vertical="center" wrapText="1"/>
    </xf>
    <xf numFmtId="164" fontId="41" fillId="0" borderId="120" xfId="0" applyFont="1" applyBorder="1" applyAlignment="1">
      <alignment horizontal="center" vertical="center" wrapText="1"/>
    </xf>
    <xf numFmtId="1" fontId="71" fillId="2" borderId="172" xfId="0" applyNumberFormat="1" applyFont="1" applyFill="1" applyBorder="1" applyAlignment="1" applyProtection="1">
      <alignment horizontal="center" vertical="center"/>
      <protection locked="0"/>
    </xf>
    <xf numFmtId="1" fontId="71" fillId="2" borderId="102" xfId="0" applyNumberFormat="1" applyFont="1" applyFill="1" applyBorder="1" applyAlignment="1" applyProtection="1">
      <alignment horizontal="center" vertical="center"/>
      <protection locked="0"/>
    </xf>
    <xf numFmtId="1" fontId="71" fillId="2" borderId="171" xfId="0" applyNumberFormat="1" applyFont="1" applyFill="1" applyBorder="1" applyAlignment="1" applyProtection="1">
      <alignment horizontal="center" vertical="center"/>
      <protection locked="0"/>
    </xf>
    <xf numFmtId="1" fontId="71" fillId="2" borderId="39" xfId="0" applyNumberFormat="1" applyFont="1" applyFill="1" applyBorder="1" applyAlignment="1" applyProtection="1">
      <alignment horizontal="center" vertical="center"/>
      <protection locked="0"/>
    </xf>
    <xf numFmtId="1" fontId="71" fillId="2" borderId="28" xfId="0" applyNumberFormat="1" applyFont="1" applyFill="1" applyBorder="1" applyAlignment="1" applyProtection="1">
      <alignment horizontal="center" vertical="center"/>
      <protection locked="0"/>
    </xf>
    <xf numFmtId="1" fontId="71" fillId="2" borderId="32" xfId="0" applyNumberFormat="1" applyFont="1" applyFill="1" applyBorder="1" applyAlignment="1" applyProtection="1">
      <alignment horizontal="center" vertical="center"/>
      <protection locked="0"/>
    </xf>
    <xf numFmtId="20" fontId="71" fillId="2" borderId="172" xfId="0" applyNumberFormat="1" applyFont="1" applyFill="1" applyBorder="1" applyAlignment="1" applyProtection="1">
      <alignment horizontal="center" vertical="center"/>
      <protection locked="0"/>
    </xf>
    <xf numFmtId="20" fontId="71" fillId="2" borderId="102" xfId="0" applyNumberFormat="1" applyFont="1" applyFill="1" applyBorder="1" applyAlignment="1" applyProtection="1">
      <alignment horizontal="center" vertical="center"/>
      <protection locked="0"/>
    </xf>
    <xf numFmtId="20" fontId="71" fillId="2" borderId="39" xfId="0" applyNumberFormat="1" applyFont="1" applyFill="1" applyBorder="1" applyAlignment="1" applyProtection="1">
      <alignment horizontal="center" vertical="center"/>
      <protection locked="0"/>
    </xf>
    <xf numFmtId="20" fontId="71" fillId="2" borderId="28" xfId="0" applyNumberFormat="1" applyFont="1" applyFill="1" applyBorder="1" applyAlignment="1" applyProtection="1">
      <alignment horizontal="center" vertical="center"/>
      <protection locked="0"/>
    </xf>
    <xf numFmtId="20" fontId="71" fillId="2" borderId="173" xfId="0" applyNumberFormat="1" applyFont="1" applyFill="1" applyBorder="1" applyAlignment="1" applyProtection="1">
      <alignment horizontal="center" vertical="center"/>
      <protection locked="0"/>
    </xf>
    <xf numFmtId="20" fontId="71" fillId="2" borderId="90" xfId="0" applyNumberFormat="1" applyFont="1" applyFill="1" applyBorder="1" applyAlignment="1" applyProtection="1">
      <alignment horizontal="center" vertical="center"/>
      <protection locked="0"/>
    </xf>
    <xf numFmtId="164" fontId="63" fillId="0" borderId="102" xfId="0" quotePrefix="1" applyFont="1" applyBorder="1" applyAlignment="1">
      <alignment horizontal="center" vertical="center"/>
    </xf>
    <xf numFmtId="164" fontId="63" fillId="0" borderId="28" xfId="0" quotePrefix="1" applyFont="1" applyBorder="1" applyAlignment="1">
      <alignment horizontal="center" vertical="center"/>
    </xf>
    <xf numFmtId="164" fontId="57" fillId="0" borderId="134" xfId="0" applyFont="1" applyBorder="1" applyAlignment="1">
      <alignment horizontal="center" vertical="center"/>
    </xf>
    <xf numFmtId="164" fontId="57" fillId="0" borderId="29" xfId="0" applyFont="1" applyBorder="1" applyAlignment="1">
      <alignment horizontal="center" vertical="center"/>
    </xf>
    <xf numFmtId="164" fontId="57" fillId="0" borderId="26" xfId="0" applyFont="1" applyBorder="1" applyAlignment="1">
      <alignment horizontal="center" vertical="center"/>
    </xf>
    <xf numFmtId="164" fontId="57" fillId="0" borderId="34" xfId="0" applyFont="1" applyBorder="1" applyAlignment="1">
      <alignment horizontal="center" vertical="center"/>
    </xf>
    <xf numFmtId="164" fontId="53" fillId="0" borderId="102" xfId="0" applyFont="1" applyBorder="1" applyAlignment="1">
      <alignment horizontal="left" vertical="center" wrapText="1"/>
    </xf>
    <xf numFmtId="164" fontId="53" fillId="0" borderId="173" xfId="0" applyFont="1" applyBorder="1" applyAlignment="1">
      <alignment horizontal="left" vertical="center" wrapText="1"/>
    </xf>
    <xf numFmtId="164" fontId="53" fillId="0" borderId="0" xfId="0" applyFont="1" applyBorder="1" applyAlignment="1">
      <alignment horizontal="left" vertical="center" wrapText="1"/>
    </xf>
    <xf numFmtId="164" fontId="53" fillId="0" borderId="6" xfId="0" applyFont="1" applyBorder="1" applyAlignment="1">
      <alignment horizontal="left" vertical="center" wrapText="1"/>
    </xf>
    <xf numFmtId="164" fontId="53" fillId="0" borderId="19" xfId="0" applyFont="1" applyBorder="1" applyAlignment="1">
      <alignment horizontal="left" vertical="center" wrapText="1"/>
    </xf>
    <xf numFmtId="164" fontId="53" fillId="0" borderId="117" xfId="0" applyFont="1" applyBorder="1" applyAlignment="1">
      <alignment horizontal="left" vertical="center" wrapText="1"/>
    </xf>
    <xf numFmtId="164" fontId="53" fillId="0" borderId="35" xfId="0" applyFont="1" applyBorder="1" applyAlignment="1">
      <alignment horizontal="left" vertical="center" wrapText="1"/>
    </xf>
    <xf numFmtId="164" fontId="53" fillId="0" borderId="141" xfId="0" applyFont="1" applyBorder="1" applyAlignment="1">
      <alignment horizontal="left" vertical="center" wrapText="1"/>
    </xf>
    <xf numFmtId="164" fontId="53" fillId="0" borderId="10" xfId="0" applyFont="1" applyBorder="1" applyAlignment="1">
      <alignment horizontal="left" vertical="center" wrapText="1"/>
    </xf>
    <xf numFmtId="164" fontId="53" fillId="0" borderId="120" xfId="0" applyFont="1" applyBorder="1" applyAlignment="1">
      <alignment horizontal="left" vertical="center" wrapText="1"/>
    </xf>
    <xf numFmtId="1" fontId="71" fillId="2" borderId="181" xfId="0" applyNumberFormat="1" applyFont="1" applyFill="1" applyBorder="1" applyAlignment="1" applyProtection="1">
      <alignment horizontal="center" vertical="center"/>
      <protection locked="0"/>
    </xf>
    <xf numFmtId="164" fontId="41" fillId="0" borderId="182" xfId="0" applyFont="1" applyBorder="1" applyAlignment="1">
      <alignment horizontal="right" vertical="center" wrapText="1"/>
    </xf>
    <xf numFmtId="164" fontId="41" fillId="0" borderId="183" xfId="0" applyFont="1" applyBorder="1" applyAlignment="1">
      <alignment horizontal="right" vertical="center" wrapText="1"/>
    </xf>
    <xf numFmtId="164" fontId="52" fillId="0" borderId="0" xfId="0" applyFont="1" applyBorder="1" applyAlignment="1">
      <alignment horizontal="center" vertical="center" wrapText="1"/>
    </xf>
    <xf numFmtId="164" fontId="52" fillId="0" borderId="10" xfId="0" applyFont="1" applyBorder="1" applyAlignment="1">
      <alignment horizontal="center" vertical="center" wrapText="1"/>
    </xf>
    <xf numFmtId="164" fontId="57" fillId="0" borderId="101" xfId="0" applyFont="1" applyBorder="1" applyAlignment="1">
      <alignment horizontal="center" vertical="center"/>
    </xf>
    <xf numFmtId="164" fontId="57" fillId="0" borderId="124" xfId="0" applyFont="1" applyBorder="1" applyAlignment="1">
      <alignment horizontal="center" vertical="center"/>
    </xf>
    <xf numFmtId="164" fontId="57" fillId="0" borderId="143" xfId="0" applyFont="1" applyBorder="1" applyAlignment="1">
      <alignment horizontal="center" vertical="center"/>
    </xf>
    <xf numFmtId="49" fontId="71" fillId="2" borderId="172" xfId="0" applyNumberFormat="1" applyFont="1" applyFill="1" applyBorder="1" applyAlignment="1" applyProtection="1">
      <alignment horizontal="left" vertical="top"/>
      <protection locked="0"/>
    </xf>
    <xf numFmtId="49" fontId="71" fillId="2" borderId="198" xfId="0" applyNumberFormat="1" applyFont="1" applyFill="1" applyBorder="1" applyAlignment="1" applyProtection="1">
      <alignment horizontal="left" vertical="top"/>
      <protection locked="0"/>
    </xf>
    <xf numFmtId="49" fontId="71" fillId="2" borderId="171" xfId="0" applyNumberFormat="1" applyFont="1" applyFill="1" applyBorder="1" applyAlignment="1" applyProtection="1">
      <alignment horizontal="left" vertical="top"/>
      <protection locked="0"/>
    </xf>
    <xf numFmtId="49" fontId="71" fillId="2" borderId="70" xfId="0" applyNumberFormat="1" applyFont="1" applyFill="1" applyBorder="1" applyAlignment="1" applyProtection="1">
      <alignment horizontal="left" vertical="top"/>
      <protection locked="0"/>
    </xf>
    <xf numFmtId="49" fontId="71" fillId="2" borderId="0" xfId="0" applyNumberFormat="1" applyFont="1" applyFill="1" applyBorder="1" applyAlignment="1" applyProtection="1">
      <alignment horizontal="left" vertical="top"/>
      <protection locked="0"/>
    </xf>
    <xf numFmtId="49" fontId="71" fillId="2" borderId="1" xfId="0" applyNumberFormat="1" applyFont="1" applyFill="1" applyBorder="1" applyAlignment="1" applyProtection="1">
      <alignment horizontal="left" vertical="top"/>
      <protection locked="0"/>
    </xf>
    <xf numFmtId="49" fontId="71" fillId="2" borderId="14" xfId="0" applyNumberFormat="1" applyFont="1" applyFill="1" applyBorder="1" applyAlignment="1" applyProtection="1">
      <alignment horizontal="left" vertical="top"/>
      <protection locked="0"/>
    </xf>
    <xf numFmtId="49" fontId="71" fillId="2" borderId="10" xfId="0" applyNumberFormat="1" applyFont="1" applyFill="1" applyBorder="1" applyAlignment="1" applyProtection="1">
      <alignment horizontal="left" vertical="top"/>
      <protection locked="0"/>
    </xf>
    <xf numFmtId="49" fontId="71" fillId="2" borderId="15" xfId="0" applyNumberFormat="1" applyFont="1" applyFill="1" applyBorder="1" applyAlignment="1" applyProtection="1">
      <alignment horizontal="left" vertical="top"/>
      <protection locked="0"/>
    </xf>
    <xf numFmtId="164" fontId="53" fillId="0" borderId="102" xfId="0" applyFont="1" applyBorder="1" applyAlignment="1">
      <alignment horizontal="left" vertical="top" wrapText="1"/>
    </xf>
    <xf numFmtId="164" fontId="53" fillId="0" borderId="103" xfId="0" applyFont="1" applyBorder="1" applyAlignment="1">
      <alignment horizontal="left" vertical="top" wrapText="1"/>
    </xf>
    <xf numFmtId="164" fontId="53" fillId="0" borderId="10" xfId="0" applyFont="1" applyBorder="1" applyAlignment="1">
      <alignment horizontal="left" vertical="top" wrapText="1"/>
    </xf>
    <xf numFmtId="164" fontId="53" fillId="0" borderId="15" xfId="0" applyFont="1" applyBorder="1" applyAlignment="1">
      <alignment horizontal="left" vertical="top" wrapText="1"/>
    </xf>
    <xf numFmtId="164" fontId="53" fillId="0" borderId="19" xfId="0" applyFont="1" applyBorder="1" applyAlignment="1">
      <alignment horizontal="left" vertical="top" wrapText="1"/>
    </xf>
    <xf numFmtId="164" fontId="53" fillId="0" borderId="29" xfId="0" applyFont="1" applyBorder="1" applyAlignment="1">
      <alignment horizontal="left" vertical="top" wrapText="1"/>
    </xf>
    <xf numFmtId="164" fontId="63" fillId="0" borderId="17" xfId="0" applyFont="1" applyBorder="1" applyAlignment="1">
      <alignment horizontal="left" vertical="center"/>
    </xf>
    <xf numFmtId="164" fontId="57" fillId="2" borderId="158" xfId="0" applyFont="1" applyFill="1" applyBorder="1" applyAlignment="1" applyProtection="1">
      <alignment horizontal="center" vertical="center"/>
      <protection locked="0"/>
    </xf>
    <xf numFmtId="164" fontId="57" fillId="2" borderId="145" xfId="0" applyFont="1" applyFill="1" applyBorder="1" applyAlignment="1" applyProtection="1">
      <alignment horizontal="center" vertical="center"/>
      <protection locked="0"/>
    </xf>
    <xf numFmtId="164" fontId="57" fillId="0" borderId="40" xfId="0" applyFont="1" applyBorder="1" applyAlignment="1">
      <alignment horizontal="center" vertical="center"/>
    </xf>
    <xf numFmtId="164" fontId="57" fillId="0" borderId="46" xfId="0" applyFont="1" applyBorder="1" applyAlignment="1">
      <alignment horizontal="center" vertical="center"/>
    </xf>
    <xf numFmtId="164" fontId="57" fillId="0" borderId="51" xfId="0" applyFont="1" applyBorder="1" applyAlignment="1">
      <alignment horizontal="center" vertical="center"/>
    </xf>
    <xf numFmtId="164" fontId="57" fillId="0" borderId="59" xfId="0" applyFont="1" applyBorder="1" applyAlignment="1">
      <alignment horizontal="center" vertical="center"/>
    </xf>
    <xf numFmtId="164" fontId="41" fillId="0" borderId="146" xfId="0" applyFont="1" applyBorder="1" applyAlignment="1">
      <alignment horizontal="right" vertical="center"/>
    </xf>
    <xf numFmtId="164" fontId="41" fillId="0" borderId="151" xfId="0" applyFont="1" applyBorder="1" applyAlignment="1">
      <alignment horizontal="right" vertical="center"/>
    </xf>
    <xf numFmtId="164" fontId="41" fillId="0" borderId="152" xfId="0" applyFont="1" applyBorder="1" applyAlignment="1">
      <alignment horizontal="right" vertical="center"/>
    </xf>
    <xf numFmtId="164" fontId="41" fillId="0" borderId="153" xfId="0" applyFont="1" applyBorder="1" applyAlignment="1">
      <alignment horizontal="right" vertical="center"/>
    </xf>
    <xf numFmtId="164" fontId="41" fillId="0" borderId="154" xfId="0" applyFont="1" applyBorder="1" applyAlignment="1">
      <alignment horizontal="right" vertical="center"/>
    </xf>
    <xf numFmtId="164" fontId="41" fillId="0" borderId="155" xfId="0" applyFont="1" applyBorder="1" applyAlignment="1">
      <alignment horizontal="right" vertical="center"/>
    </xf>
    <xf numFmtId="164" fontId="41" fillId="0" borderId="125" xfId="0" applyFont="1" applyBorder="1" applyAlignment="1">
      <alignment horizontal="right" vertical="center"/>
    </xf>
    <xf numFmtId="164" fontId="41" fillId="0" borderId="111" xfId="0" applyFont="1" applyBorder="1" applyAlignment="1">
      <alignment horizontal="right" vertical="center"/>
    </xf>
    <xf numFmtId="164" fontId="41" fillId="0" borderId="157" xfId="0" applyFont="1" applyBorder="1" applyAlignment="1">
      <alignment horizontal="right" vertical="center"/>
    </xf>
    <xf numFmtId="164" fontId="41" fillId="0" borderId="158" xfId="0" applyFont="1" applyBorder="1" applyAlignment="1">
      <alignment horizontal="right" vertical="center"/>
    </xf>
    <xf numFmtId="164" fontId="57" fillId="2" borderId="155" xfId="0" applyFont="1" applyFill="1" applyBorder="1" applyAlignment="1" applyProtection="1">
      <alignment horizontal="center" vertical="center"/>
      <protection locked="0"/>
    </xf>
    <xf numFmtId="164" fontId="57" fillId="2" borderId="156" xfId="0" applyFont="1" applyFill="1" applyBorder="1" applyAlignment="1" applyProtection="1">
      <alignment horizontal="center" vertical="center"/>
      <protection locked="0"/>
    </xf>
    <xf numFmtId="164" fontId="57" fillId="0" borderId="123" xfId="0" applyFont="1" applyBorder="1" applyAlignment="1">
      <alignment horizontal="center" vertical="center"/>
    </xf>
    <xf numFmtId="164" fontId="57" fillId="2" borderId="111" xfId="0" applyFont="1" applyFill="1" applyBorder="1" applyAlignment="1" applyProtection="1">
      <alignment horizontal="center" vertical="center"/>
      <protection locked="0"/>
    </xf>
    <xf numFmtId="164" fontId="57" fillId="2" borderId="101" xfId="0" applyFont="1" applyFill="1" applyBorder="1" applyAlignment="1" applyProtection="1">
      <alignment horizontal="center" vertical="center"/>
      <protection locked="0"/>
    </xf>
    <xf numFmtId="164" fontId="57" fillId="2" borderId="151" xfId="0" applyFont="1" applyFill="1" applyBorder="1" applyAlignment="1" applyProtection="1">
      <alignment horizontal="center" vertical="center"/>
      <protection locked="0"/>
    </xf>
    <xf numFmtId="164" fontId="57" fillId="2" borderId="144" xfId="0" applyFont="1" applyFill="1" applyBorder="1" applyAlignment="1" applyProtection="1">
      <alignment horizontal="center" vertical="center"/>
      <protection locked="0"/>
    </xf>
    <xf numFmtId="164" fontId="57" fillId="2" borderId="153" xfId="0" applyFont="1" applyFill="1" applyBorder="1" applyAlignment="1" applyProtection="1">
      <alignment horizontal="center" vertical="center"/>
      <protection locked="0"/>
    </xf>
    <xf numFmtId="164" fontId="57" fillId="2" borderId="98" xfId="0" applyFont="1" applyFill="1" applyBorder="1" applyAlignment="1" applyProtection="1">
      <alignment horizontal="center" vertical="center"/>
      <protection locked="0"/>
    </xf>
    <xf numFmtId="164" fontId="57" fillId="0" borderId="99" xfId="0" applyFont="1" applyBorder="1" applyAlignment="1">
      <alignment horizontal="center" vertical="center"/>
    </xf>
    <xf numFmtId="164" fontId="57" fillId="0" borderId="105" xfId="0" applyFont="1" applyBorder="1" applyAlignment="1">
      <alignment horizontal="center" vertical="center"/>
    </xf>
    <xf numFmtId="164" fontId="41" fillId="0" borderId="35" xfId="0" applyFont="1" applyBorder="1" applyAlignment="1">
      <alignment horizontal="left" vertical="top" wrapText="1"/>
    </xf>
    <xf numFmtId="164" fontId="41" fillId="0" borderId="127" xfId="0" applyFont="1" applyBorder="1" applyAlignment="1">
      <alignment horizontal="left" vertical="top" wrapText="1"/>
    </xf>
    <xf numFmtId="164" fontId="41" fillId="0" borderId="0" xfId="0" applyFont="1" applyBorder="1" applyAlignment="1">
      <alignment horizontal="left" vertical="top" wrapText="1"/>
    </xf>
    <xf numFmtId="164" fontId="41" fillId="0" borderId="1" xfId="0" applyFont="1" applyBorder="1" applyAlignment="1">
      <alignment horizontal="left" vertical="top" wrapText="1"/>
    </xf>
    <xf numFmtId="164" fontId="41" fillId="0" borderId="19" xfId="0" applyFont="1" applyBorder="1" applyAlignment="1">
      <alignment horizontal="left" vertical="top" wrapText="1"/>
    </xf>
    <xf numFmtId="164" fontId="41" fillId="0" borderId="29" xfId="0" applyFont="1" applyBorder="1" applyAlignment="1">
      <alignment horizontal="left" vertical="top" wrapText="1"/>
    </xf>
    <xf numFmtId="164" fontId="57" fillId="0" borderId="144" xfId="0" applyFont="1" applyBorder="1" applyAlignment="1">
      <alignment horizontal="center" vertical="center"/>
    </xf>
    <xf numFmtId="164" fontId="57" fillId="0" borderId="145" xfId="0" applyFont="1" applyBorder="1" applyAlignment="1">
      <alignment horizontal="center" vertical="center"/>
    </xf>
    <xf numFmtId="165" fontId="71" fillId="2" borderId="77" xfId="0" applyNumberFormat="1" applyFont="1" applyFill="1" applyBorder="1" applyAlignment="1" applyProtection="1">
      <alignment horizontal="center" vertical="center" textRotation="20"/>
      <protection locked="0"/>
    </xf>
    <xf numFmtId="165" fontId="71" fillId="2" borderId="33" xfId="0" applyNumberFormat="1" applyFont="1" applyFill="1" applyBorder="1" applyAlignment="1" applyProtection="1">
      <alignment horizontal="center" vertical="center" textRotation="20"/>
      <protection locked="0"/>
    </xf>
    <xf numFmtId="165" fontId="71" fillId="2" borderId="69" xfId="0" applyNumberFormat="1" applyFont="1" applyFill="1" applyBorder="1" applyAlignment="1" applyProtection="1">
      <alignment horizontal="center" vertical="center" textRotation="20"/>
      <protection locked="0"/>
    </xf>
    <xf numFmtId="3" fontId="71" fillId="2" borderId="12" xfId="0" applyNumberFormat="1" applyFont="1" applyFill="1" applyBorder="1" applyAlignment="1" applyProtection="1">
      <alignment horizontal="center" vertical="center"/>
      <protection locked="0"/>
    </xf>
    <xf numFmtId="3" fontId="71" fillId="2" borderId="102" xfId="0" applyNumberFormat="1" applyFont="1" applyFill="1" applyBorder="1" applyAlignment="1" applyProtection="1">
      <alignment horizontal="center" vertical="center"/>
      <protection locked="0"/>
    </xf>
    <xf numFmtId="3" fontId="71" fillId="2" borderId="103" xfId="0" applyNumberFormat="1" applyFont="1" applyFill="1" applyBorder="1" applyAlignment="1" applyProtection="1">
      <alignment horizontal="center" vertical="center"/>
      <protection locked="0"/>
    </xf>
    <xf numFmtId="3" fontId="71" fillId="2" borderId="70" xfId="0" applyNumberFormat="1" applyFont="1" applyFill="1" applyBorder="1" applyAlignment="1" applyProtection="1">
      <alignment horizontal="center" vertical="center"/>
      <protection locked="0"/>
    </xf>
    <xf numFmtId="3" fontId="71" fillId="2" borderId="0" xfId="0" applyNumberFormat="1" applyFont="1" applyFill="1" applyBorder="1" applyAlignment="1" applyProtection="1">
      <alignment horizontal="center" vertical="center"/>
      <protection locked="0"/>
    </xf>
    <xf numFmtId="3" fontId="71" fillId="2" borderId="1" xfId="0" applyNumberFormat="1" applyFont="1" applyFill="1" applyBorder="1" applyAlignment="1" applyProtection="1">
      <alignment horizontal="center" vertical="center"/>
      <protection locked="0"/>
    </xf>
    <xf numFmtId="3" fontId="71" fillId="2" borderId="26" xfId="0" applyNumberFormat="1" applyFont="1" applyFill="1" applyBorder="1" applyAlignment="1" applyProtection="1">
      <alignment horizontal="center" vertical="center"/>
      <protection locked="0"/>
    </xf>
    <xf numFmtId="3" fontId="71" fillId="2" borderId="19" xfId="0" applyNumberFormat="1" applyFont="1" applyFill="1" applyBorder="1" applyAlignment="1" applyProtection="1">
      <alignment horizontal="center" vertical="center"/>
      <protection locked="0"/>
    </xf>
    <xf numFmtId="3" fontId="71" fillId="2" borderId="29" xfId="0" applyNumberFormat="1" applyFont="1" applyFill="1" applyBorder="1" applyAlignment="1" applyProtection="1">
      <alignment horizontal="center" vertical="center"/>
      <protection locked="0"/>
    </xf>
    <xf numFmtId="164" fontId="57" fillId="0" borderId="115" xfId="0" applyFont="1" applyBorder="1" applyAlignment="1">
      <alignment horizontal="left" vertical="center"/>
    </xf>
    <xf numFmtId="164" fontId="57" fillId="0" borderId="10" xfId="0" applyFont="1" applyBorder="1" applyAlignment="1">
      <alignment horizontal="left" vertical="center"/>
    </xf>
    <xf numFmtId="164" fontId="57" fillId="0" borderId="25" xfId="0" applyFont="1" applyBorder="1" applyAlignment="1">
      <alignment horizontal="left" vertical="center"/>
    </xf>
    <xf numFmtId="164" fontId="57" fillId="0" borderId="102" xfId="0" applyFont="1" applyBorder="1" applyAlignment="1">
      <alignment horizontal="left" vertical="center"/>
    </xf>
    <xf numFmtId="164" fontId="57" fillId="0" borderId="114" xfId="0" applyFont="1" applyBorder="1" applyAlignment="1">
      <alignment horizontal="left" vertical="center"/>
    </xf>
    <xf numFmtId="165" fontId="71" fillId="2" borderId="147" xfId="0" applyNumberFormat="1" applyFont="1" applyFill="1" applyBorder="1" applyAlignment="1" applyProtection="1">
      <alignment horizontal="center" vertical="center" textRotation="20"/>
      <protection locked="0"/>
    </xf>
    <xf numFmtId="165" fontId="71" fillId="2" borderId="109" xfId="0" applyNumberFormat="1" applyFont="1" applyFill="1" applyBorder="1" applyAlignment="1" applyProtection="1">
      <alignment horizontal="center" vertical="center" textRotation="20"/>
      <protection locked="0"/>
    </xf>
    <xf numFmtId="165" fontId="71" fillId="2" borderId="107" xfId="0" applyNumberFormat="1" applyFont="1" applyFill="1" applyBorder="1" applyAlignment="1" applyProtection="1">
      <alignment horizontal="center" vertical="center" textRotation="20"/>
      <protection locked="0"/>
    </xf>
    <xf numFmtId="3" fontId="71" fillId="2" borderId="121" xfId="0" applyNumberFormat="1" applyFont="1" applyFill="1" applyBorder="1" applyAlignment="1" applyProtection="1">
      <alignment horizontal="center" vertical="center"/>
      <protection locked="0"/>
    </xf>
    <xf numFmtId="3" fontId="71" fillId="2" borderId="6" xfId="0" applyNumberFormat="1" applyFont="1" applyFill="1" applyBorder="1" applyAlignment="1" applyProtection="1">
      <alignment horizontal="center" vertical="center"/>
      <protection locked="0"/>
    </xf>
    <xf numFmtId="3" fontId="71" fillId="2" borderId="117" xfId="0" applyNumberFormat="1" applyFont="1" applyFill="1" applyBorder="1" applyAlignment="1" applyProtection="1">
      <alignment horizontal="center" vertical="center"/>
      <protection locked="0"/>
    </xf>
    <xf numFmtId="0" fontId="57" fillId="2" borderId="101" xfId="0" applyNumberFormat="1" applyFont="1" applyFill="1" applyBorder="1" applyAlignment="1" applyProtection="1">
      <alignment horizontal="center" vertical="center"/>
      <protection locked="0"/>
    </xf>
    <xf numFmtId="0" fontId="57" fillId="2" borderId="124" xfId="0" applyNumberFormat="1" applyFont="1" applyFill="1" applyBorder="1" applyAlignment="1" applyProtection="1">
      <alignment horizontal="center" vertical="center"/>
      <protection locked="0"/>
    </xf>
    <xf numFmtId="0" fontId="57" fillId="2" borderId="106" xfId="0" applyNumberFormat="1" applyFont="1" applyFill="1" applyBorder="1" applyAlignment="1" applyProtection="1">
      <alignment horizontal="center" vertical="center"/>
      <protection locked="0"/>
    </xf>
    <xf numFmtId="0" fontId="57" fillId="2" borderId="31" xfId="0" applyNumberFormat="1" applyFont="1" applyFill="1" applyBorder="1" applyAlignment="1" applyProtection="1">
      <alignment horizontal="center" vertical="center"/>
      <protection locked="0"/>
    </xf>
    <xf numFmtId="164" fontId="57" fillId="0" borderId="125" xfId="0" applyFont="1" applyBorder="1" applyAlignment="1">
      <alignment horizontal="center" vertical="center"/>
    </xf>
    <xf numFmtId="164" fontId="41" fillId="0" borderId="102" xfId="0" applyFont="1" applyBorder="1" applyAlignment="1">
      <alignment horizontal="left" vertical="center" wrapText="1"/>
    </xf>
    <xf numFmtId="164" fontId="41" fillId="0" borderId="121" xfId="0" applyFont="1" applyBorder="1" applyAlignment="1">
      <alignment horizontal="left" vertical="center" wrapText="1"/>
    </xf>
    <xf numFmtId="164" fontId="41" fillId="0" borderId="0" xfId="0" applyFont="1" applyBorder="1" applyAlignment="1">
      <alignment horizontal="left" vertical="center" wrapText="1"/>
    </xf>
    <xf numFmtId="164" fontId="41" fillId="0" borderId="6" xfId="0" applyFont="1" applyBorder="1" applyAlignment="1">
      <alignment horizontal="left" vertical="center" wrapText="1"/>
    </xf>
    <xf numFmtId="164" fontId="41" fillId="0" borderId="28" xfId="0" applyFont="1" applyBorder="1" applyAlignment="1">
      <alignment horizontal="left" vertical="center" wrapText="1"/>
    </xf>
    <xf numFmtId="164" fontId="41" fillId="0" borderId="90" xfId="0" applyFont="1" applyBorder="1" applyAlignment="1">
      <alignment horizontal="left" vertical="center" wrapText="1"/>
    </xf>
    <xf numFmtId="1" fontId="57" fillId="0" borderId="144" xfId="0" applyNumberFormat="1" applyFont="1" applyBorder="1" applyAlignment="1">
      <alignment horizontal="center" vertical="center"/>
    </xf>
    <xf numFmtId="1" fontId="57" fillId="0" borderId="46" xfId="0" applyNumberFormat="1" applyFont="1" applyBorder="1" applyAlignment="1">
      <alignment horizontal="center" vertical="center"/>
    </xf>
    <xf numFmtId="1" fontId="57" fillId="0" borderId="101" xfId="0" applyNumberFormat="1" applyFont="1" applyBorder="1" applyAlignment="1">
      <alignment horizontal="center" vertical="center"/>
    </xf>
    <xf numFmtId="1" fontId="57" fillId="0" borderId="124" xfId="0" applyNumberFormat="1" applyFont="1" applyBorder="1" applyAlignment="1">
      <alignment horizontal="center" vertical="center"/>
    </xf>
    <xf numFmtId="1" fontId="57" fillId="0" borderId="110" xfId="0" applyNumberFormat="1" applyFont="1" applyBorder="1" applyAlignment="1">
      <alignment horizontal="center" vertical="center"/>
    </xf>
    <xf numFmtId="1" fontId="57" fillId="0" borderId="33" xfId="0" applyNumberFormat="1" applyFont="1" applyBorder="1" applyAlignment="1">
      <alignment horizontal="center" vertical="center"/>
    </xf>
    <xf numFmtId="164" fontId="57" fillId="0" borderId="146" xfId="0" applyFont="1" applyBorder="1" applyAlignment="1">
      <alignment horizontal="center" vertical="center"/>
    </xf>
    <xf numFmtId="164" fontId="57" fillId="0" borderId="33" xfId="0" applyFont="1" applyBorder="1" applyAlignment="1">
      <alignment horizontal="center" vertical="center"/>
    </xf>
    <xf numFmtId="164" fontId="57" fillId="0" borderId="109" xfId="0" applyFont="1" applyBorder="1" applyAlignment="1">
      <alignment horizontal="center" vertical="center"/>
    </xf>
    <xf numFmtId="164" fontId="57" fillId="0" borderId="112" xfId="0" applyFont="1" applyBorder="1" applyAlignment="1">
      <alignment horizontal="center" vertical="top"/>
    </xf>
    <xf numFmtId="164" fontId="57" fillId="0" borderId="17" xfId="0" applyFont="1" applyBorder="1" applyAlignment="1">
      <alignment horizontal="center" vertical="top"/>
    </xf>
    <xf numFmtId="164" fontId="57" fillId="0" borderId="113" xfId="0" applyFont="1" applyBorder="1" applyAlignment="1">
      <alignment horizontal="center" vertical="top"/>
    </xf>
    <xf numFmtId="164" fontId="57" fillId="0" borderId="122" xfId="0" applyFont="1" applyBorder="1" applyAlignment="1">
      <alignment horizontal="center" vertical="center"/>
    </xf>
    <xf numFmtId="164" fontId="57" fillId="0" borderId="103" xfId="0" applyFont="1" applyBorder="1" applyAlignment="1">
      <alignment horizontal="center" vertical="center"/>
    </xf>
    <xf numFmtId="164" fontId="57" fillId="0" borderId="12" xfId="0" applyFont="1" applyBorder="1" applyAlignment="1">
      <alignment horizontal="center" vertical="center"/>
    </xf>
    <xf numFmtId="164" fontId="57" fillId="0" borderId="67" xfId="0" applyFont="1" applyBorder="1" applyAlignment="1">
      <alignment horizontal="center" vertical="center"/>
    </xf>
    <xf numFmtId="164" fontId="41" fillId="0" borderId="10" xfId="0" applyFont="1" applyBorder="1" applyAlignment="1">
      <alignment horizontal="left" vertical="top" wrapText="1"/>
    </xf>
    <xf numFmtId="164" fontId="57" fillId="0" borderId="3" xfId="0" applyFont="1" applyBorder="1" applyAlignment="1">
      <alignment horizontal="center" vertical="center" wrapText="1"/>
    </xf>
    <xf numFmtId="164" fontId="57" fillId="0" borderId="115" xfId="0" applyFont="1" applyBorder="1" applyAlignment="1">
      <alignment horizontal="center" vertical="center" wrapText="1"/>
    </xf>
    <xf numFmtId="164" fontId="57" fillId="0" borderId="192" xfId="0" applyFont="1" applyBorder="1" applyAlignment="1">
      <alignment horizontal="center" vertical="center" wrapText="1"/>
    </xf>
    <xf numFmtId="3" fontId="73" fillId="2" borderId="172" xfId="0" applyNumberFormat="1" applyFont="1" applyFill="1" applyBorder="1" applyAlignment="1" applyProtection="1">
      <alignment horizontal="center" vertical="center"/>
      <protection locked="0"/>
    </xf>
    <xf numFmtId="3" fontId="73" fillId="2" borderId="102" xfId="0" applyNumberFormat="1" applyFont="1" applyFill="1" applyBorder="1" applyAlignment="1" applyProtection="1">
      <alignment horizontal="center" vertical="center"/>
      <protection locked="0"/>
    </xf>
    <xf numFmtId="3" fontId="73" fillId="2" borderId="173" xfId="0" applyNumberFormat="1" applyFont="1" applyFill="1" applyBorder="1" applyAlignment="1" applyProtection="1">
      <alignment horizontal="center" vertical="center"/>
      <protection locked="0"/>
    </xf>
    <xf numFmtId="3" fontId="73" fillId="2" borderId="14" xfId="0" applyNumberFormat="1" applyFont="1" applyFill="1" applyBorder="1" applyAlignment="1" applyProtection="1">
      <alignment horizontal="center" vertical="center"/>
      <protection locked="0"/>
    </xf>
    <xf numFmtId="3" fontId="73" fillId="2" borderId="10" xfId="0" applyNumberFormat="1" applyFont="1" applyFill="1" applyBorder="1" applyAlignment="1" applyProtection="1">
      <alignment horizontal="center" vertical="center"/>
      <protection locked="0"/>
    </xf>
    <xf numFmtId="3" fontId="73" fillId="2" borderId="120" xfId="0" applyNumberFormat="1" applyFont="1" applyFill="1" applyBorder="1" applyAlignment="1" applyProtection="1">
      <alignment horizontal="center" vertical="center"/>
      <protection locked="0"/>
    </xf>
    <xf numFmtId="164" fontId="57" fillId="0" borderId="46" xfId="0" applyFont="1" applyBorder="1" applyAlignment="1" applyProtection="1">
      <alignment horizontal="center" vertical="center"/>
    </xf>
    <xf numFmtId="164" fontId="57" fillId="0" borderId="51" xfId="0" applyFont="1" applyBorder="1" applyAlignment="1" applyProtection="1">
      <alignment horizontal="center" vertical="center"/>
    </xf>
    <xf numFmtId="164" fontId="57" fillId="0" borderId="124" xfId="0" applyFont="1" applyBorder="1" applyAlignment="1" applyProtection="1">
      <alignment horizontal="center" vertical="center"/>
    </xf>
    <xf numFmtId="164" fontId="57" fillId="0" borderId="143" xfId="0" applyFont="1" applyBorder="1" applyAlignment="1" applyProtection="1">
      <alignment horizontal="center" vertical="center"/>
    </xf>
    <xf numFmtId="164" fontId="57" fillId="0" borderId="31" xfId="0" applyFont="1" applyBorder="1" applyAlignment="1" applyProtection="1">
      <alignment horizontal="center" vertical="center"/>
    </xf>
    <xf numFmtId="164" fontId="57" fillId="0" borderId="58" xfId="0" applyFont="1" applyBorder="1" applyAlignment="1" applyProtection="1">
      <alignment horizontal="center" vertical="center"/>
    </xf>
    <xf numFmtId="164" fontId="71" fillId="2" borderId="102" xfId="0" applyFont="1" applyFill="1" applyBorder="1" applyAlignment="1" applyProtection="1">
      <alignment horizontal="left" vertical="top" wrapText="1"/>
      <protection locked="0"/>
    </xf>
    <xf numFmtId="164" fontId="71" fillId="2" borderId="121" xfId="0" applyFont="1" applyFill="1" applyBorder="1" applyAlignment="1" applyProtection="1">
      <alignment horizontal="left" vertical="top" wrapText="1"/>
      <protection locked="0"/>
    </xf>
    <xf numFmtId="164" fontId="71" fillId="2" borderId="0" xfId="0" applyFont="1" applyFill="1" applyBorder="1" applyAlignment="1" applyProtection="1">
      <alignment horizontal="left" vertical="top" wrapText="1"/>
      <protection locked="0"/>
    </xf>
    <xf numFmtId="164" fontId="71" fillId="2" borderId="6" xfId="0" applyFont="1" applyFill="1" applyBorder="1" applyAlignment="1" applyProtection="1">
      <alignment horizontal="left" vertical="top" wrapText="1"/>
      <protection locked="0"/>
    </xf>
    <xf numFmtId="164" fontId="71" fillId="2" borderId="28" xfId="0" applyFont="1" applyFill="1" applyBorder="1" applyAlignment="1" applyProtection="1">
      <alignment horizontal="left" vertical="top" wrapText="1"/>
      <protection locked="0"/>
    </xf>
    <xf numFmtId="164" fontId="71" fillId="2" borderId="90" xfId="0" applyFont="1" applyFill="1" applyBorder="1" applyAlignment="1" applyProtection="1">
      <alignment horizontal="left" vertical="top" wrapText="1"/>
      <protection locked="0"/>
    </xf>
    <xf numFmtId="164" fontId="57" fillId="0" borderId="142" xfId="0" applyFont="1" applyBorder="1" applyAlignment="1">
      <alignment horizontal="center" vertical="top"/>
    </xf>
    <xf numFmtId="164" fontId="57" fillId="0" borderId="54" xfId="0" applyFont="1" applyBorder="1" applyAlignment="1">
      <alignment horizontal="center" vertical="top"/>
    </xf>
    <xf numFmtId="164" fontId="57" fillId="0" borderId="56" xfId="0" applyFont="1" applyBorder="1" applyAlignment="1">
      <alignment horizontal="center" vertical="top"/>
    </xf>
    <xf numFmtId="164" fontId="53" fillId="0" borderId="25" xfId="0" applyFont="1" applyBorder="1" applyAlignment="1">
      <alignment horizontal="right" vertical="center"/>
    </xf>
    <xf numFmtId="164" fontId="53" fillId="0" borderId="4" xfId="0" applyFont="1" applyBorder="1" applyAlignment="1">
      <alignment horizontal="right" vertical="center"/>
    </xf>
    <xf numFmtId="164" fontId="82" fillId="0" borderId="188" xfId="0" applyFont="1" applyFill="1" applyBorder="1" applyAlignment="1">
      <alignment horizontal="center" vertical="center"/>
    </xf>
    <xf numFmtId="164" fontId="82" fillId="0" borderId="2" xfId="0" applyFont="1" applyFill="1" applyBorder="1" applyAlignment="1">
      <alignment horizontal="center" vertical="center"/>
    </xf>
    <xf numFmtId="164" fontId="57" fillId="0" borderId="69" xfId="0" applyFont="1" applyBorder="1" applyAlignment="1">
      <alignment horizontal="center" vertical="center"/>
    </xf>
    <xf numFmtId="164" fontId="57" fillId="0" borderId="107" xfId="0" applyFont="1" applyBorder="1" applyAlignment="1">
      <alignment horizontal="center" vertical="center"/>
    </xf>
    <xf numFmtId="164" fontId="53" fillId="0" borderId="114" xfId="0" applyFont="1" applyBorder="1" applyAlignment="1">
      <alignment horizontal="right" vertical="center"/>
    </xf>
    <xf numFmtId="164" fontId="53" fillId="0" borderId="5" xfId="0" applyFont="1" applyBorder="1" applyAlignment="1">
      <alignment horizontal="right" vertical="center"/>
    </xf>
    <xf numFmtId="164" fontId="82" fillId="0" borderId="190" xfId="0" applyFont="1" applyFill="1" applyBorder="1" applyAlignment="1">
      <alignment horizontal="center" vertical="center"/>
    </xf>
    <xf numFmtId="164" fontId="82" fillId="0" borderId="191" xfId="0" applyFont="1" applyFill="1" applyBorder="1" applyAlignment="1">
      <alignment horizontal="center" vertical="center"/>
    </xf>
    <xf numFmtId="164" fontId="57" fillId="0" borderId="149" xfId="0" applyFont="1" applyBorder="1" applyAlignment="1">
      <alignment horizontal="center" vertical="center"/>
    </xf>
    <xf numFmtId="164" fontId="82" fillId="0" borderId="189" xfId="0" applyFont="1" applyFill="1" applyBorder="1" applyAlignment="1">
      <alignment horizontal="center" vertical="center"/>
    </xf>
    <xf numFmtId="164" fontId="82" fillId="0" borderId="169" xfId="0" applyFont="1" applyFill="1" applyBorder="1" applyAlignment="1">
      <alignment horizontal="center" vertical="center"/>
    </xf>
    <xf numFmtId="164" fontId="63" fillId="0" borderId="16" xfId="0" applyFont="1" applyBorder="1" applyAlignment="1">
      <alignment horizontal="center" vertical="top" wrapText="1"/>
    </xf>
    <xf numFmtId="164" fontId="63" fillId="0" borderId="17" xfId="0" applyFont="1" applyBorder="1" applyAlignment="1">
      <alignment horizontal="center" vertical="top" wrapText="1"/>
    </xf>
    <xf numFmtId="164" fontId="63" fillId="0" borderId="113" xfId="0" applyFont="1" applyBorder="1" applyAlignment="1">
      <alignment horizontal="center" vertical="top" wrapText="1"/>
    </xf>
    <xf numFmtId="164" fontId="63" fillId="0" borderId="23" xfId="0" applyFont="1" applyBorder="1" applyAlignment="1">
      <alignment horizontal="center" vertical="top" wrapText="1"/>
    </xf>
    <xf numFmtId="164" fontId="63" fillId="0" borderId="10" xfId="0" applyFont="1" applyBorder="1" applyAlignment="1">
      <alignment horizontal="center" vertical="top" wrapText="1"/>
    </xf>
    <xf numFmtId="164" fontId="63" fillId="0" borderId="120" xfId="0" applyFont="1" applyBorder="1" applyAlignment="1">
      <alignment horizontal="center" vertical="top" wrapText="1"/>
    </xf>
    <xf numFmtId="164" fontId="57" fillId="0" borderId="112" xfId="0" applyFont="1" applyBorder="1" applyAlignment="1">
      <alignment horizontal="center" vertical="center"/>
    </xf>
    <xf numFmtId="164" fontId="57" fillId="0" borderId="6" xfId="0" applyFont="1" applyBorder="1" applyAlignment="1">
      <alignment horizontal="center" vertical="center"/>
    </xf>
    <xf numFmtId="164" fontId="52" fillId="7" borderId="138" xfId="0" applyFont="1" applyFill="1" applyBorder="1" applyAlignment="1">
      <alignment horizontal="center" vertical="center"/>
    </xf>
    <xf numFmtId="164" fontId="52" fillId="7" borderId="35" xfId="0" applyFont="1" applyFill="1" applyBorder="1" applyAlignment="1">
      <alignment horizontal="center" vertical="center"/>
    </xf>
    <xf numFmtId="164" fontId="52" fillId="7" borderId="36" xfId="0" applyFont="1" applyFill="1" applyBorder="1" applyAlignment="1">
      <alignment horizontal="center" vertical="center"/>
    </xf>
    <xf numFmtId="164" fontId="52" fillId="7" borderId="140" xfId="0" applyFont="1" applyFill="1" applyBorder="1" applyAlignment="1">
      <alignment horizontal="center" vertical="center"/>
    </xf>
    <xf numFmtId="164" fontId="52" fillId="7" borderId="10" xfId="0" applyFont="1" applyFill="1" applyBorder="1" applyAlignment="1">
      <alignment horizontal="center" vertical="center"/>
    </xf>
    <xf numFmtId="164" fontId="52" fillId="7" borderId="44" xfId="0" applyFont="1" applyFill="1" applyBorder="1" applyAlignment="1">
      <alignment horizontal="center" vertical="center"/>
    </xf>
    <xf numFmtId="164" fontId="57" fillId="0" borderId="35" xfId="0" applyFont="1" applyBorder="1" applyAlignment="1">
      <alignment horizontal="center" vertical="center"/>
    </xf>
    <xf numFmtId="164" fontId="57" fillId="0" borderId="141" xfId="0" applyFont="1" applyBorder="1" applyAlignment="1">
      <alignment horizontal="center" vertical="center"/>
    </xf>
    <xf numFmtId="164" fontId="63" fillId="0" borderId="35" xfId="0" applyFont="1" applyBorder="1" applyAlignment="1">
      <alignment horizontal="left" vertical="top" wrapText="1"/>
    </xf>
    <xf numFmtId="1" fontId="71" fillId="2" borderId="138" xfId="0" applyNumberFormat="1" applyFont="1" applyFill="1" applyBorder="1" applyAlignment="1" applyProtection="1">
      <alignment horizontal="center" vertical="center"/>
      <protection locked="0"/>
    </xf>
    <xf numFmtId="1" fontId="71" fillId="2" borderId="141" xfId="0" applyNumberFormat="1" applyFont="1" applyFill="1" applyBorder="1" applyAlignment="1" applyProtection="1">
      <alignment horizontal="center" vertical="center"/>
      <protection locked="0"/>
    </xf>
    <xf numFmtId="1" fontId="71" fillId="2" borderId="80" xfId="0" applyNumberFormat="1" applyFont="1" applyFill="1" applyBorder="1" applyAlignment="1" applyProtection="1">
      <alignment horizontal="center" vertical="center"/>
      <protection locked="0"/>
    </xf>
    <xf numFmtId="1" fontId="71" fillId="2" borderId="6" xfId="0" applyNumberFormat="1" applyFont="1" applyFill="1" applyBorder="1" applyAlignment="1" applyProtection="1">
      <alignment horizontal="center" vertical="center"/>
      <protection locked="0"/>
    </xf>
    <xf numFmtId="164" fontId="57" fillId="0" borderId="101" xfId="0" applyFont="1" applyBorder="1" applyAlignment="1" applyProtection="1">
      <alignment horizontal="center" vertical="center"/>
    </xf>
    <xf numFmtId="164" fontId="57" fillId="0" borderId="106" xfId="0" applyFont="1" applyBorder="1" applyAlignment="1" applyProtection="1">
      <alignment horizontal="center" vertical="center"/>
    </xf>
    <xf numFmtId="164" fontId="57" fillId="0" borderId="144" xfId="0" applyFont="1" applyBorder="1" applyAlignment="1" applyProtection="1">
      <alignment horizontal="center" vertical="center"/>
    </xf>
    <xf numFmtId="164" fontId="15" fillId="0" borderId="0" xfId="2" applyFont="1" applyBorder="1" applyAlignment="1" applyProtection="1">
      <alignment horizontal="center" vertical="top"/>
    </xf>
    <xf numFmtId="164" fontId="57" fillId="0" borderId="162" xfId="0" applyFont="1" applyBorder="1" applyAlignment="1">
      <alignment horizontal="center" vertical="top"/>
    </xf>
    <xf numFmtId="164" fontId="57" fillId="0" borderId="163" xfId="0" applyFont="1" applyBorder="1" applyAlignment="1">
      <alignment horizontal="center" vertical="top"/>
    </xf>
    <xf numFmtId="164" fontId="57" fillId="0" borderId="164" xfId="0" applyFont="1" applyBorder="1" applyAlignment="1">
      <alignment horizontal="center" vertical="top"/>
    </xf>
    <xf numFmtId="164" fontId="53" fillId="0" borderId="50" xfId="0" quotePrefix="1" applyFont="1" applyBorder="1" applyAlignment="1">
      <alignment horizontal="center" vertical="center" wrapText="1"/>
    </xf>
    <xf numFmtId="164" fontId="53" fillId="0" borderId="23" xfId="0" quotePrefix="1" applyFont="1" applyBorder="1" applyAlignment="1">
      <alignment horizontal="center" vertical="center" wrapText="1"/>
    </xf>
    <xf numFmtId="164" fontId="80" fillId="0" borderId="0" xfId="0" applyFont="1" applyBorder="1" applyAlignment="1">
      <alignment horizontal="center" vertical="center"/>
    </xf>
    <xf numFmtId="164" fontId="0" fillId="0" borderId="0" xfId="0" applyBorder="1" applyAlignment="1">
      <alignment horizontal="center" vertical="center"/>
    </xf>
    <xf numFmtId="164" fontId="65" fillId="0" borderId="0" xfId="2" applyFont="1" applyBorder="1" applyAlignment="1" applyProtection="1">
      <alignment horizontal="left" vertical="center"/>
    </xf>
    <xf numFmtId="164" fontId="69" fillId="0" borderId="0" xfId="0" applyFont="1" applyBorder="1" applyAlignment="1">
      <alignment horizontal="center" vertical="center"/>
    </xf>
    <xf numFmtId="164" fontId="9" fillId="0" borderId="0" xfId="2" applyFont="1" applyBorder="1" applyAlignment="1" applyProtection="1">
      <alignment horizontal="right" vertical="top"/>
    </xf>
    <xf numFmtId="164" fontId="9" fillId="0" borderId="1" xfId="2" applyFont="1" applyBorder="1" applyAlignment="1" applyProtection="1">
      <alignment horizontal="right" vertical="top"/>
    </xf>
    <xf numFmtId="3" fontId="14" fillId="0" borderId="22" xfId="2" applyNumberFormat="1" applyFont="1" applyFill="1" applyBorder="1" applyAlignment="1" applyProtection="1">
      <alignment horizontal="center" vertical="center"/>
    </xf>
    <xf numFmtId="3" fontId="14" fillId="0" borderId="0" xfId="2" applyNumberFormat="1" applyFont="1" applyFill="1" applyBorder="1" applyAlignment="1" applyProtection="1">
      <alignment horizontal="center" vertical="center"/>
    </xf>
    <xf numFmtId="3" fontId="14" fillId="0" borderId="80" xfId="2" applyNumberFormat="1" applyFont="1" applyFill="1" applyBorder="1" applyAlignment="1" applyProtection="1">
      <alignment horizontal="center" vertical="center"/>
    </xf>
    <xf numFmtId="3" fontId="14" fillId="0" borderId="1" xfId="2" applyNumberFormat="1" applyFont="1" applyFill="1" applyBorder="1" applyAlignment="1" applyProtection="1">
      <alignment horizontal="center" vertical="center"/>
    </xf>
    <xf numFmtId="3" fontId="14" fillId="0" borderId="38" xfId="2" applyNumberFormat="1" applyFont="1" applyFill="1" applyBorder="1" applyAlignment="1" applyProtection="1">
      <alignment horizontal="center" vertical="center"/>
    </xf>
    <xf numFmtId="164" fontId="53" fillId="0" borderId="0" xfId="0" applyFont="1" applyBorder="1" applyAlignment="1">
      <alignment horizontal="right" vertical="top"/>
    </xf>
    <xf numFmtId="1" fontId="71" fillId="2" borderId="194" xfId="0" applyNumberFormat="1" applyFont="1" applyFill="1" applyBorder="1" applyAlignment="1" applyProtection="1">
      <alignment horizontal="center" vertical="top"/>
      <protection locked="0"/>
    </xf>
    <xf numFmtId="1" fontId="71" fillId="2" borderId="195" xfId="0" applyNumberFormat="1" applyFont="1" applyFill="1" applyBorder="1" applyAlignment="1" applyProtection="1">
      <alignment horizontal="center" vertical="top"/>
      <protection locked="0"/>
    </xf>
    <xf numFmtId="1" fontId="71" fillId="2" borderId="196" xfId="0" applyNumberFormat="1" applyFont="1" applyFill="1" applyBorder="1" applyAlignment="1" applyProtection="1">
      <alignment horizontal="center" vertical="top"/>
      <protection locked="0"/>
    </xf>
    <xf numFmtId="164" fontId="41" fillId="0" borderId="0" xfId="0" applyFont="1" applyBorder="1" applyAlignment="1">
      <alignment horizontal="center" vertical="center"/>
    </xf>
    <xf numFmtId="1" fontId="71" fillId="2" borderId="126" xfId="0" applyNumberFormat="1" applyFont="1" applyFill="1" applyBorder="1" applyAlignment="1" applyProtection="1">
      <alignment horizontal="center" vertical="center" wrapText="1"/>
      <protection locked="0"/>
    </xf>
    <xf numFmtId="1" fontId="71" fillId="2" borderId="36" xfId="0" applyNumberFormat="1" applyFont="1" applyFill="1" applyBorder="1" applyAlignment="1" applyProtection="1">
      <alignment horizontal="center" vertical="center" wrapText="1"/>
      <protection locked="0"/>
    </xf>
    <xf numFmtId="1" fontId="71" fillId="2" borderId="14" xfId="0" applyNumberFormat="1" applyFont="1" applyFill="1" applyBorder="1" applyAlignment="1" applyProtection="1">
      <alignment horizontal="center" vertical="center" wrapText="1"/>
      <protection locked="0"/>
    </xf>
    <xf numFmtId="1" fontId="71" fillId="2" borderId="44" xfId="0" applyNumberFormat="1" applyFont="1" applyFill="1" applyBorder="1" applyAlignment="1" applyProtection="1">
      <alignment horizontal="center" vertical="center" wrapText="1"/>
      <protection locked="0"/>
    </xf>
    <xf numFmtId="164" fontId="41" fillId="0" borderId="0" xfId="0" applyFont="1" applyBorder="1" applyAlignment="1">
      <alignment horizontal="center" vertical="top" wrapText="1"/>
    </xf>
    <xf numFmtId="164" fontId="53" fillId="0" borderId="22" xfId="0" quotePrefix="1" applyFont="1" applyBorder="1" applyAlignment="1">
      <alignment horizontal="center" vertical="center" wrapText="1"/>
    </xf>
    <xf numFmtId="164" fontId="53" fillId="0" borderId="27" xfId="0" quotePrefix="1" applyFont="1" applyBorder="1" applyAlignment="1">
      <alignment horizontal="center" vertical="center" wrapText="1"/>
    </xf>
    <xf numFmtId="164" fontId="53" fillId="0" borderId="18" xfId="0" quotePrefix="1" applyFont="1" applyBorder="1" applyAlignment="1">
      <alignment horizontal="center" vertical="center" wrapText="1"/>
    </xf>
    <xf numFmtId="9" fontId="71" fillId="2" borderId="70" xfId="0" applyNumberFormat="1" applyFont="1" applyFill="1" applyBorder="1" applyAlignment="1" applyProtection="1">
      <alignment horizontal="center" vertical="center" wrapText="1"/>
      <protection locked="0"/>
    </xf>
    <xf numFmtId="9" fontId="71" fillId="2" borderId="38" xfId="0" applyNumberFormat="1" applyFont="1" applyFill="1" applyBorder="1" applyAlignment="1" applyProtection="1">
      <alignment horizontal="center" vertical="center" wrapText="1"/>
      <protection locked="0"/>
    </xf>
    <xf numFmtId="9" fontId="71" fillId="2" borderId="172" xfId="0" applyNumberFormat="1" applyFont="1" applyFill="1" applyBorder="1" applyAlignment="1" applyProtection="1">
      <alignment horizontal="center" vertical="center" wrapText="1"/>
      <protection locked="0"/>
    </xf>
    <xf numFmtId="9" fontId="71" fillId="2" borderId="193" xfId="0" applyNumberFormat="1" applyFont="1" applyFill="1" applyBorder="1" applyAlignment="1" applyProtection="1">
      <alignment horizontal="center" vertical="center" wrapText="1"/>
      <protection locked="0"/>
    </xf>
    <xf numFmtId="9" fontId="71" fillId="2" borderId="26" xfId="0" applyNumberFormat="1" applyFont="1" applyFill="1" applyBorder="1" applyAlignment="1" applyProtection="1">
      <alignment horizontal="center" vertical="center" wrapText="1"/>
      <protection locked="0"/>
    </xf>
    <xf numFmtId="9" fontId="71" fillId="2" borderId="34" xfId="0" applyNumberFormat="1" applyFont="1" applyFill="1" applyBorder="1" applyAlignment="1" applyProtection="1">
      <alignment horizontal="center" vertical="center" wrapText="1"/>
      <protection locked="0"/>
    </xf>
    <xf numFmtId="3" fontId="14" fillId="0" borderId="79" xfId="2" applyNumberFormat="1" applyFont="1" applyFill="1" applyBorder="1" applyAlignment="1" applyProtection="1">
      <alignment horizontal="center" vertical="center"/>
    </xf>
    <xf numFmtId="3" fontId="14" fillId="0" borderId="28" xfId="2" applyNumberFormat="1" applyFont="1" applyFill="1" applyBorder="1" applyAlignment="1" applyProtection="1">
      <alignment horizontal="center" vertical="center"/>
    </xf>
    <xf numFmtId="3" fontId="14" fillId="0" borderId="81" xfId="2" applyNumberFormat="1" applyFont="1" applyFill="1" applyBorder="1" applyAlignment="1" applyProtection="1">
      <alignment horizontal="center" vertical="center"/>
    </xf>
    <xf numFmtId="3" fontId="14" fillId="0" borderId="32" xfId="2" applyNumberFormat="1" applyFont="1" applyFill="1" applyBorder="1" applyAlignment="1" applyProtection="1">
      <alignment horizontal="center" vertical="center"/>
    </xf>
    <xf numFmtId="3" fontId="14" fillId="0" borderId="66" xfId="2" applyNumberFormat="1" applyFont="1" applyFill="1" applyBorder="1" applyAlignment="1" applyProtection="1">
      <alignment horizontal="center" vertical="center"/>
    </xf>
    <xf numFmtId="165" fontId="71" fillId="2" borderId="82" xfId="2" applyNumberFormat="1" applyFont="1" applyFill="1" applyBorder="1" applyAlignment="1" applyProtection="1">
      <alignment horizontal="center" vertical="center"/>
      <protection locked="0"/>
    </xf>
    <xf numFmtId="165" fontId="71" fillId="2" borderId="83" xfId="2" applyNumberFormat="1" applyFont="1" applyFill="1" applyBorder="1" applyAlignment="1" applyProtection="1">
      <alignment horizontal="center" vertical="center"/>
      <protection locked="0"/>
    </xf>
    <xf numFmtId="3" fontId="71" fillId="2" borderId="84" xfId="2" applyNumberFormat="1" applyFont="1" applyFill="1" applyBorder="1" applyAlignment="1" applyProtection="1">
      <alignment horizontal="center" vertical="center"/>
      <protection locked="0"/>
    </xf>
    <xf numFmtId="3" fontId="71" fillId="2" borderId="83" xfId="2" applyNumberFormat="1" applyFont="1" applyFill="1" applyBorder="1" applyAlignment="1" applyProtection="1">
      <alignment horizontal="center" vertical="center"/>
      <protection locked="0"/>
    </xf>
    <xf numFmtId="3" fontId="71" fillId="2" borderId="85" xfId="2" applyNumberFormat="1" applyFont="1" applyFill="1" applyBorder="1" applyAlignment="1" applyProtection="1">
      <alignment horizontal="center" vertical="center"/>
      <protection locked="0"/>
    </xf>
    <xf numFmtId="3" fontId="71" fillId="2" borderId="86" xfId="2" applyNumberFormat="1" applyFont="1" applyFill="1" applyBorder="1" applyAlignment="1" applyProtection="1">
      <alignment horizontal="center" vertical="center"/>
      <protection locked="0"/>
    </xf>
    <xf numFmtId="164" fontId="76" fillId="0" borderId="0" xfId="0" applyFont="1" applyBorder="1" applyAlignment="1">
      <alignment horizontal="center"/>
    </xf>
    <xf numFmtId="164" fontId="16" fillId="0" borderId="0" xfId="2" applyFont="1" applyAlignment="1">
      <alignment horizontal="center"/>
    </xf>
    <xf numFmtId="165" fontId="16" fillId="0" borderId="0" xfId="2" applyNumberFormat="1" applyFont="1" applyAlignment="1">
      <alignment horizontal="center"/>
    </xf>
    <xf numFmtId="164" fontId="79" fillId="0" borderId="0" xfId="2" applyFont="1" applyAlignment="1">
      <alignment horizontal="center"/>
    </xf>
    <xf numFmtId="164" fontId="80" fillId="0" borderId="0" xfId="2" applyFont="1" applyAlignment="1">
      <alignment horizontal="center"/>
    </xf>
    <xf numFmtId="164" fontId="22" fillId="0" borderId="0" xfId="2" applyFont="1" applyAlignment="1">
      <alignment horizontal="center"/>
    </xf>
    <xf numFmtId="169" fontId="23" fillId="0" borderId="0" xfId="2" applyNumberFormat="1" applyFont="1" applyAlignment="1">
      <alignment horizontal="center"/>
    </xf>
    <xf numFmtId="170" fontId="23" fillId="0" borderId="0" xfId="2" applyNumberFormat="1" applyFont="1" applyAlignment="1">
      <alignment horizontal="center"/>
    </xf>
    <xf numFmtId="164" fontId="24" fillId="0" borderId="0" xfId="2" applyFont="1" applyAlignment="1">
      <alignment horizontal="center"/>
    </xf>
    <xf numFmtId="164" fontId="17" fillId="0" borderId="73" xfId="3" applyFont="1" applyBorder="1" applyAlignment="1" applyProtection="1">
      <alignment horizontal="center"/>
      <protection locked="0"/>
    </xf>
    <xf numFmtId="164" fontId="17" fillId="0" borderId="74" xfId="3" applyFont="1" applyBorder="1" applyAlignment="1" applyProtection="1">
      <alignment horizontal="center"/>
      <protection locked="0"/>
    </xf>
    <xf numFmtId="164" fontId="17" fillId="0" borderId="75" xfId="3" applyFont="1" applyBorder="1" applyAlignment="1" applyProtection="1">
      <alignment horizontal="center"/>
      <protection locked="0"/>
    </xf>
    <xf numFmtId="164" fontId="21" fillId="0" borderId="0" xfId="2" applyFont="1" applyAlignment="1">
      <alignment horizontal="center"/>
    </xf>
    <xf numFmtId="9" fontId="22" fillId="0" borderId="0" xfId="2" applyNumberFormat="1" applyFont="1" applyAlignment="1">
      <alignment horizontal="center"/>
    </xf>
    <xf numFmtId="164" fontId="0" fillId="0" borderId="10" xfId="0" applyFill="1" applyBorder="1" applyAlignment="1">
      <alignment horizontal="center"/>
    </xf>
    <xf numFmtId="164" fontId="77" fillId="0" borderId="10" xfId="2" applyFont="1" applyFill="1" applyBorder="1" applyAlignment="1">
      <alignment horizontal="center"/>
    </xf>
    <xf numFmtId="164" fontId="0" fillId="0" borderId="0" xfId="0" applyAlignment="1">
      <alignment horizontal="center"/>
    </xf>
    <xf numFmtId="2" fontId="0" fillId="0" borderId="0" xfId="0" applyNumberFormat="1" applyFill="1" applyBorder="1" applyAlignment="1">
      <alignment horizontal="center"/>
    </xf>
    <xf numFmtId="169" fontId="23" fillId="0" borderId="0" xfId="0" applyNumberFormat="1" applyFont="1" applyAlignment="1" applyProtection="1">
      <alignment horizontal="center"/>
      <protection locked="0"/>
    </xf>
    <xf numFmtId="170" fontId="23" fillId="0" borderId="0" xfId="0" applyNumberFormat="1" applyFont="1" applyAlignment="1" applyProtection="1">
      <alignment horizontal="center"/>
      <protection locked="0"/>
    </xf>
    <xf numFmtId="164" fontId="24" fillId="0" borderId="0" xfId="0" applyNumberFormat="1" applyFont="1" applyAlignment="1">
      <alignment horizontal="center"/>
    </xf>
    <xf numFmtId="164" fontId="22" fillId="0" borderId="0" xfId="0" applyNumberFormat="1" applyFont="1" applyAlignment="1">
      <alignment horizontal="center"/>
    </xf>
    <xf numFmtId="9" fontId="22" fillId="0" borderId="0" xfId="0" applyNumberFormat="1" applyFont="1" applyAlignment="1">
      <alignment horizontal="center"/>
    </xf>
    <xf numFmtId="164" fontId="24" fillId="0" borderId="0" xfId="0" applyNumberFormat="1" applyFont="1" applyAlignment="1" applyProtection="1">
      <alignment horizontal="center"/>
      <protection locked="0"/>
    </xf>
    <xf numFmtId="164" fontId="0" fillId="0" borderId="10" xfId="0" applyBorder="1" applyAlignment="1">
      <alignment horizontal="center"/>
    </xf>
    <xf numFmtId="164" fontId="35" fillId="0" borderId="68" xfId="0" applyFont="1" applyBorder="1" applyAlignment="1">
      <alignment horizontal="center"/>
    </xf>
    <xf numFmtId="164" fontId="35" fillId="0" borderId="2" xfId="0" applyFont="1" applyBorder="1" applyAlignment="1">
      <alignment horizontal="center"/>
    </xf>
    <xf numFmtId="164" fontId="35" fillId="0" borderId="68" xfId="0" applyFont="1" applyBorder="1" applyAlignment="1">
      <alignment horizontal="center" vertical="center"/>
    </xf>
    <xf numFmtId="164" fontId="35" fillId="0" borderId="25" xfId="0" applyFont="1" applyBorder="1" applyAlignment="1">
      <alignment horizontal="center" vertical="center"/>
    </xf>
    <xf numFmtId="164" fontId="35" fillId="0" borderId="2" xfId="0" applyFont="1" applyBorder="1" applyAlignment="1">
      <alignment horizontal="center" vertical="center"/>
    </xf>
    <xf numFmtId="164" fontId="15" fillId="0" borderId="73" xfId="4" applyFont="1" applyBorder="1" applyAlignment="1" applyProtection="1">
      <alignment horizontal="center"/>
      <protection locked="0"/>
    </xf>
    <xf numFmtId="164" fontId="15" fillId="0" borderId="75" xfId="4" applyFont="1" applyBorder="1" applyAlignment="1" applyProtection="1">
      <alignment horizontal="center"/>
      <protection locked="0"/>
    </xf>
    <xf numFmtId="169" fontId="60" fillId="0" borderId="0" xfId="0" applyNumberFormat="1" applyFont="1" applyAlignment="1" applyProtection="1">
      <alignment horizontal="center"/>
      <protection locked="0"/>
    </xf>
    <xf numFmtId="169" fontId="58" fillId="0" borderId="0" xfId="0" applyNumberFormat="1" applyFont="1" applyAlignment="1" applyProtection="1">
      <alignment horizontal="center"/>
      <protection locked="0"/>
    </xf>
    <xf numFmtId="164" fontId="59" fillId="0" borderId="0" xfId="0" applyNumberFormat="1" applyFont="1" applyAlignment="1">
      <alignment horizontal="center" vertical="center" textRotation="90"/>
    </xf>
    <xf numFmtId="164" fontId="82" fillId="0" borderId="0" xfId="0" applyFont="1" applyAlignment="1">
      <alignment horizontal="right"/>
    </xf>
    <xf numFmtId="3" fontId="35" fillId="0" borderId="138" xfId="0" applyNumberFormat="1" applyFont="1" applyBorder="1" applyAlignment="1">
      <alignment horizontal="center"/>
    </xf>
    <xf numFmtId="3" fontId="35" fillId="0" borderId="141" xfId="0" applyNumberFormat="1" applyFont="1" applyBorder="1" applyAlignment="1">
      <alignment horizontal="center"/>
    </xf>
    <xf numFmtId="164" fontId="35" fillId="0" borderId="138" xfId="0" applyFont="1" applyBorder="1" applyAlignment="1">
      <alignment horizontal="center"/>
    </xf>
    <xf numFmtId="164" fontId="35" fillId="0" borderId="35" xfId="0" applyFont="1" applyBorder="1" applyAlignment="1">
      <alignment horizontal="center"/>
    </xf>
    <xf numFmtId="164" fontId="35" fillId="0" borderId="141" xfId="0" applyFont="1" applyBorder="1" applyAlignment="1">
      <alignment horizontal="center"/>
    </xf>
    <xf numFmtId="164" fontId="82" fillId="0" borderId="0" xfId="0" applyFont="1" applyAlignment="1">
      <alignment horizontal="center"/>
    </xf>
    <xf numFmtId="164" fontId="89" fillId="0" borderId="0" xfId="0" applyFont="1" applyBorder="1" applyAlignment="1">
      <alignment horizontal="left" vertical="center"/>
    </xf>
    <xf numFmtId="164" fontId="92" fillId="0" borderId="0" xfId="0" applyFont="1" applyBorder="1" applyAlignment="1">
      <alignment horizontal="center"/>
    </xf>
    <xf numFmtId="164" fontId="81" fillId="0" borderId="172" xfId="0" applyFont="1" applyBorder="1" applyAlignment="1">
      <alignment horizontal="left" vertical="center" wrapText="1"/>
    </xf>
    <xf numFmtId="164" fontId="81" fillId="0" borderId="198" xfId="0" applyFont="1" applyBorder="1" applyAlignment="1">
      <alignment horizontal="left" vertical="center" wrapText="1"/>
    </xf>
    <xf numFmtId="164" fontId="81" fillId="0" borderId="171" xfId="0" applyFont="1" applyBorder="1" applyAlignment="1">
      <alignment horizontal="left" vertical="center" wrapText="1"/>
    </xf>
    <xf numFmtId="164" fontId="81" fillId="0" borderId="70" xfId="0" applyFont="1" applyBorder="1" applyAlignment="1">
      <alignment horizontal="left" vertical="center" wrapText="1"/>
    </xf>
    <xf numFmtId="164" fontId="81" fillId="0" borderId="0" xfId="0" applyFont="1" applyBorder="1" applyAlignment="1">
      <alignment horizontal="left" vertical="center" wrapText="1"/>
    </xf>
    <xf numFmtId="164" fontId="81" fillId="0" borderId="1" xfId="0" applyFont="1" applyBorder="1" applyAlignment="1">
      <alignment horizontal="left" vertical="center" wrapText="1"/>
    </xf>
    <xf numFmtId="164" fontId="81" fillId="0" borderId="14" xfId="0" applyFont="1" applyBorder="1" applyAlignment="1">
      <alignment horizontal="left" vertical="center" wrapText="1"/>
    </xf>
    <xf numFmtId="164" fontId="81" fillId="0" borderId="10" xfId="0" applyFont="1" applyBorder="1" applyAlignment="1">
      <alignment horizontal="left" vertical="center" wrapText="1"/>
    </xf>
    <xf numFmtId="164" fontId="81" fillId="0" borderId="15" xfId="0" applyFont="1" applyBorder="1" applyAlignment="1">
      <alignment horizontal="left" vertical="center" wrapText="1"/>
    </xf>
    <xf numFmtId="164" fontId="91" fillId="0" borderId="0" xfId="0" applyFont="1" applyBorder="1" applyAlignment="1">
      <alignment horizontal="center"/>
    </xf>
    <xf numFmtId="164" fontId="90" fillId="0" borderId="0" xfId="0" applyFont="1" applyBorder="1" applyAlignment="1">
      <alignment horizontal="center"/>
    </xf>
    <xf numFmtId="0" fontId="87" fillId="0" borderId="10" xfId="2" applyNumberFormat="1" applyFont="1" applyFill="1" applyBorder="1" applyAlignment="1" applyProtection="1">
      <alignment horizontal="center"/>
      <protection locked="0"/>
    </xf>
    <xf numFmtId="0" fontId="87" fillId="0" borderId="201" xfId="2" applyNumberFormat="1" applyFont="1" applyFill="1" applyBorder="1" applyAlignment="1" applyProtection="1">
      <alignment horizontal="center"/>
      <protection locked="0"/>
    </xf>
    <xf numFmtId="14" fontId="87" fillId="0" borderId="10" xfId="2" applyNumberFormat="1" applyFont="1" applyFill="1" applyBorder="1" applyAlignment="1" applyProtection="1">
      <alignment horizontal="center"/>
      <protection locked="0"/>
    </xf>
    <xf numFmtId="14" fontId="87" fillId="0" borderId="201" xfId="2" applyNumberFormat="1" applyFont="1" applyFill="1" applyBorder="1" applyAlignment="1" applyProtection="1">
      <alignment horizontal="center"/>
      <protection locked="0"/>
    </xf>
    <xf numFmtId="1" fontId="87" fillId="0" borderId="10" xfId="2" applyNumberFormat="1" applyFont="1" applyFill="1" applyBorder="1" applyAlignment="1" applyProtection="1">
      <alignment horizontal="center"/>
      <protection locked="0"/>
    </xf>
    <xf numFmtId="164" fontId="90" fillId="0" borderId="0" xfId="0" applyFont="1" applyBorder="1" applyAlignment="1">
      <alignment horizontal="right" vertical="center"/>
    </xf>
    <xf numFmtId="164" fontId="90" fillId="0" borderId="1" xfId="0" applyFont="1" applyBorder="1" applyAlignment="1">
      <alignment horizontal="right" vertical="center"/>
    </xf>
    <xf numFmtId="164" fontId="90" fillId="0" borderId="0" xfId="0" applyFont="1" applyBorder="1" applyAlignment="1">
      <alignment horizontal="right" vertical="top"/>
    </xf>
    <xf numFmtId="164" fontId="80" fillId="2" borderId="10" xfId="0" applyFont="1" applyFill="1" applyBorder="1" applyAlignment="1" applyProtection="1">
      <alignment horizontal="left" vertical="center"/>
      <protection locked="0"/>
    </xf>
  </cellXfs>
  <cellStyles count="6">
    <cellStyle name="Hyperlink 2" xfId="5"/>
    <cellStyle name="Normal" xfId="0" builtinId="0"/>
    <cellStyle name="Normal 2" xfId="1"/>
    <cellStyle name="Normal 3" xfId="2"/>
    <cellStyle name="Normal_SIGNAL" xfId="3"/>
    <cellStyle name="Normal_WRNT9_40" xfId="4"/>
  </cellStyles>
  <dxfs count="62">
    <dxf>
      <font>
        <b/>
        <i val="0"/>
        <color rgb="FFC00000"/>
      </font>
    </dxf>
    <dxf>
      <fill>
        <patternFill>
          <bgColor rgb="FFFFFF00"/>
        </patternFill>
      </fill>
    </dxf>
    <dxf>
      <font>
        <b/>
        <i/>
        <color rgb="FF0000FF"/>
      </font>
    </dxf>
    <dxf>
      <fill>
        <patternFill>
          <bgColor rgb="FFFFFF00"/>
        </patternFill>
      </fill>
    </dxf>
    <dxf>
      <font>
        <b/>
        <i/>
        <color rgb="FF0000FF"/>
      </font>
    </dxf>
    <dxf>
      <fill>
        <patternFill>
          <bgColor rgb="FFFFFF00"/>
        </patternFill>
      </fill>
    </dxf>
    <dxf>
      <font>
        <b/>
        <i/>
        <color rgb="FF0000FF"/>
      </font>
    </dxf>
    <dxf>
      <fill>
        <patternFill>
          <bgColor rgb="FFFFFF00"/>
        </patternFill>
      </fill>
    </dxf>
    <dxf>
      <font>
        <b/>
        <i/>
        <color rgb="FF0000FF"/>
      </font>
    </dxf>
    <dxf>
      <font>
        <b/>
        <i/>
        <color rgb="FFFF0000"/>
      </font>
    </dxf>
    <dxf>
      <font>
        <b/>
        <i/>
        <color rgb="FFFF0000"/>
      </font>
    </dxf>
    <dxf>
      <font>
        <b/>
        <i/>
        <color rgb="FFFF0000"/>
      </font>
    </dxf>
    <dxf>
      <font>
        <b/>
        <i/>
        <color rgb="FFFF0000"/>
      </font>
    </dxf>
    <dxf>
      <font>
        <b/>
        <i/>
        <color rgb="FFFF0000"/>
      </font>
    </dxf>
    <dxf>
      <font>
        <b/>
        <i/>
        <color rgb="FFFF0000"/>
      </font>
    </dxf>
    <dxf>
      <font>
        <b/>
        <i/>
        <color rgb="FFFF0000"/>
      </font>
    </dxf>
    <dxf>
      <font>
        <b/>
        <i/>
        <color rgb="FFFF0000"/>
      </font>
    </dxf>
    <dxf>
      <font>
        <b/>
        <i/>
        <color theme="0"/>
      </font>
    </dxf>
    <dxf>
      <font>
        <b/>
        <i/>
        <color theme="0"/>
      </font>
    </dxf>
    <dxf>
      <fill>
        <patternFill>
          <bgColor rgb="FFFF0000"/>
        </patternFill>
      </fill>
    </dxf>
    <dxf>
      <fill>
        <patternFill>
          <bgColor rgb="FFFF0000"/>
        </patternFill>
      </fill>
      <border>
        <left/>
        <right/>
        <top/>
        <bottom/>
        <vertical/>
        <horizontal/>
      </border>
    </dxf>
    <dxf>
      <font>
        <b/>
        <i/>
        <color theme="0" tint="-0.24994659260841701"/>
      </font>
      <fill>
        <patternFill>
          <bgColor theme="0" tint="-0.24994659260841701"/>
        </patternFill>
      </fill>
    </dxf>
    <dxf>
      <font>
        <b/>
        <i/>
        <color theme="0" tint="-0.24994659260841701"/>
      </font>
      <fill>
        <patternFill>
          <bgColor theme="0" tint="-0.24994659260841701"/>
        </patternFill>
      </fill>
    </dxf>
    <dxf>
      <fill>
        <patternFill>
          <bgColor theme="0" tint="-0.24994659260841701"/>
        </patternFill>
      </fill>
    </dxf>
    <dxf>
      <fill>
        <patternFill>
          <bgColor theme="0" tint="-0.24994659260841701"/>
        </patternFill>
      </fill>
    </dxf>
    <dxf>
      <font>
        <b/>
        <i/>
        <color theme="0" tint="-0.24994659260841701"/>
      </font>
      <fill>
        <patternFill>
          <bgColor theme="0" tint="-0.24994659260841701"/>
        </patternFill>
      </fill>
    </dxf>
    <dxf>
      <fill>
        <patternFill>
          <bgColor theme="0" tint="-0.24994659260841701"/>
        </patternFill>
      </fill>
    </dxf>
    <dxf>
      <font>
        <b/>
        <i/>
        <color theme="0" tint="-0.24994659260841701"/>
      </font>
      <fill>
        <patternFill>
          <bgColor theme="0" tint="-0.24994659260841701"/>
        </patternFill>
      </fill>
    </dxf>
    <dxf>
      <fill>
        <patternFill>
          <bgColor theme="0" tint="-0.24994659260841701"/>
        </patternFill>
      </fill>
    </dxf>
    <dxf>
      <font>
        <b/>
        <i/>
        <color theme="0"/>
      </font>
    </dxf>
    <dxf>
      <font>
        <b/>
        <i/>
        <color theme="0"/>
      </font>
    </dxf>
    <dxf>
      <font>
        <b/>
        <i val="0"/>
        <color theme="0"/>
      </font>
    </dxf>
    <dxf>
      <font>
        <b/>
        <i val="0"/>
        <color theme="0"/>
      </font>
    </dxf>
    <dxf>
      <font>
        <b/>
        <i val="0"/>
        <color theme="0"/>
      </font>
    </dxf>
    <dxf>
      <font>
        <b/>
        <i val="0"/>
        <color theme="0"/>
      </font>
    </dxf>
    <dxf>
      <font>
        <b/>
        <i val="0"/>
        <color theme="0"/>
      </font>
    </dxf>
    <dxf>
      <font>
        <b/>
        <i/>
      </font>
      <fill>
        <patternFill>
          <bgColor rgb="FFCCFF99"/>
        </patternFill>
      </fill>
    </dxf>
    <dxf>
      <font>
        <b/>
        <i/>
      </font>
      <fill>
        <patternFill>
          <bgColor rgb="FFCCFF99"/>
        </patternFill>
      </fill>
    </dxf>
    <dxf>
      <font>
        <b/>
        <i/>
      </font>
      <fill>
        <patternFill>
          <bgColor rgb="FFCCFF99"/>
        </patternFill>
      </fill>
    </dxf>
    <dxf>
      <font>
        <b/>
        <i/>
      </font>
      <fill>
        <patternFill>
          <bgColor rgb="FFCCFF99"/>
        </patternFill>
      </fill>
    </dxf>
    <dxf>
      <font>
        <b/>
        <i/>
      </font>
      <fill>
        <patternFill>
          <bgColor rgb="FFFF9999"/>
        </patternFill>
      </fill>
    </dxf>
    <dxf>
      <font>
        <b/>
        <i/>
      </font>
      <fill>
        <patternFill>
          <bgColor rgb="FFFF9999"/>
        </patternFill>
      </fill>
    </dxf>
    <dxf>
      <font>
        <b/>
        <i/>
      </font>
      <fill>
        <patternFill>
          <bgColor rgb="FFFF9999"/>
        </patternFill>
      </fill>
    </dxf>
    <dxf>
      <font>
        <b/>
        <i/>
      </font>
      <fill>
        <patternFill>
          <bgColor rgb="FFFF9999"/>
        </patternFill>
      </fill>
    </dxf>
    <dxf>
      <font>
        <b/>
        <i val="0"/>
        <color theme="0"/>
      </font>
    </dxf>
    <dxf>
      <font>
        <b/>
        <i val="0"/>
        <color theme="0"/>
      </font>
    </dxf>
    <dxf>
      <font>
        <b/>
        <i val="0"/>
        <color theme="0"/>
      </font>
    </dxf>
    <dxf>
      <font>
        <b/>
        <i val="0"/>
        <color theme="0"/>
      </font>
    </dxf>
    <dxf>
      <font>
        <b/>
        <i/>
      </font>
      <fill>
        <patternFill>
          <bgColor rgb="FFCCFF99"/>
        </patternFill>
      </fill>
    </dxf>
    <dxf>
      <font>
        <b/>
        <i/>
      </font>
      <fill>
        <patternFill>
          <bgColor rgb="FFCCFF99"/>
        </patternFill>
      </fill>
    </dxf>
    <dxf>
      <font>
        <b/>
        <i/>
      </font>
      <fill>
        <patternFill>
          <bgColor rgb="FFCCFF99"/>
        </patternFill>
      </fill>
    </dxf>
    <dxf>
      <font>
        <b/>
        <i/>
      </font>
      <fill>
        <patternFill>
          <bgColor rgb="FFCCFF99"/>
        </patternFill>
      </fill>
    </dxf>
    <dxf>
      <font>
        <b/>
        <i/>
      </font>
      <fill>
        <patternFill>
          <bgColor rgb="FFFF9999"/>
        </patternFill>
      </fill>
    </dxf>
    <dxf>
      <font>
        <b/>
        <i/>
      </font>
      <fill>
        <patternFill>
          <bgColor rgb="FFFF9999"/>
        </patternFill>
      </fill>
    </dxf>
    <dxf>
      <font>
        <b/>
        <i/>
      </font>
      <fill>
        <patternFill>
          <bgColor rgb="FFFF9999"/>
        </patternFill>
      </fill>
    </dxf>
    <dxf>
      <font>
        <b/>
        <i/>
      </font>
      <fill>
        <patternFill>
          <bgColor rgb="FFFF9999"/>
        </patternFill>
      </fill>
    </dxf>
    <dxf>
      <font>
        <b/>
        <i val="0"/>
        <color theme="0"/>
      </font>
    </dxf>
    <dxf>
      <font>
        <b/>
        <i val="0"/>
        <color theme="0"/>
      </font>
    </dxf>
    <dxf>
      <font>
        <b/>
        <i val="0"/>
        <color theme="0"/>
      </font>
    </dxf>
    <dxf>
      <font>
        <b/>
        <i val="0"/>
        <color theme="0"/>
      </font>
    </dxf>
    <dxf>
      <font>
        <b/>
        <i val="0"/>
        <color theme="0"/>
      </font>
    </dxf>
    <dxf>
      <font>
        <b/>
        <i val="0"/>
        <color theme="0"/>
      </font>
    </dxf>
  </dxfs>
  <tableStyles count="0" defaultTableStyle="TableStyleMedium9" defaultPivotStyle="PivotStyleLight16"/>
  <colors>
    <mruColors>
      <color rgb="FF0000FF"/>
      <color rgb="FFFF66FF"/>
      <color rgb="FFCCFF99"/>
      <color rgb="FFFF9999"/>
    </mru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c:lang val="en-US"/>
  <c:chart>
    <c:plotArea>
      <c:layout>
        <c:manualLayout>
          <c:layoutTarget val="inner"/>
          <c:xMode val="edge"/>
          <c:yMode val="edge"/>
          <c:x val="0.12001251051348052"/>
          <c:y val="2.7032202370052622E-2"/>
          <c:w val="0.67036808804696457"/>
          <c:h val="0.76577427821522415"/>
        </c:manualLayout>
      </c:layout>
      <c:scatterChart>
        <c:scatterStyle val="lineMarker"/>
        <c:ser>
          <c:idx val="0"/>
          <c:order val="5"/>
          <c:tx>
            <c:v>100% Volume Level</c:v>
          </c:tx>
          <c:spPr>
            <a:ln>
              <a:noFill/>
            </a:ln>
          </c:spPr>
          <c:marker>
            <c:symbol val="diamond"/>
            <c:size val="6"/>
            <c:spPr>
              <a:noFill/>
              <a:ln>
                <a:solidFill>
                  <a:srgbClr val="FF0000"/>
                </a:solidFill>
              </a:ln>
            </c:spPr>
          </c:marker>
          <c:dLbls>
            <c:dLbl>
              <c:idx val="0"/>
              <c:layout/>
              <c:tx>
                <c:strRef>
                  <c:f>W2Calc!$B$20</c:f>
                  <c:strCache>
                    <c:ptCount val="1"/>
                    <c:pt idx="0">
                      <c:v>12 AM</c:v>
                    </c:pt>
                  </c:strCache>
                </c:strRef>
              </c:tx>
              <c:dLblPos val="t"/>
              <c:showVal val="1"/>
            </c:dLbl>
            <c:dLbl>
              <c:idx val="1"/>
              <c:layout/>
              <c:tx>
                <c:strRef>
                  <c:f>W2Calc!$B$21</c:f>
                  <c:strCache>
                    <c:ptCount val="1"/>
                    <c:pt idx="0">
                      <c:v>12 AM</c:v>
                    </c:pt>
                  </c:strCache>
                </c:strRef>
              </c:tx>
              <c:dLblPos val="t"/>
              <c:showVal val="1"/>
            </c:dLbl>
            <c:dLbl>
              <c:idx val="2"/>
              <c:layout/>
              <c:tx>
                <c:strRef>
                  <c:f>W2Calc!$B$22</c:f>
                  <c:strCache>
                    <c:ptCount val="1"/>
                    <c:pt idx="0">
                      <c:v>12 AM</c:v>
                    </c:pt>
                  </c:strCache>
                </c:strRef>
              </c:tx>
              <c:dLblPos val="t"/>
              <c:showVal val="1"/>
            </c:dLbl>
            <c:dLbl>
              <c:idx val="3"/>
              <c:layout/>
              <c:tx>
                <c:strRef>
                  <c:f>W2Calc!$B$23</c:f>
                  <c:strCache>
                    <c:ptCount val="1"/>
                    <c:pt idx="0">
                      <c:v>12 AM</c:v>
                    </c:pt>
                  </c:strCache>
                </c:strRef>
              </c:tx>
              <c:dLblPos val="t"/>
              <c:showVal val="1"/>
            </c:dLbl>
            <c:txPr>
              <a:bodyPr rot="-2400000" anchor="b" anchorCtr="0"/>
              <a:lstStyle/>
              <a:p>
                <a:pPr>
                  <a:defRPr sz="900" b="1" i="0" baseline="0">
                    <a:solidFill>
                      <a:srgbClr val="FF0000"/>
                    </a:solidFill>
                    <a:latin typeface="Arial" pitchFamily="34" charset="0"/>
                  </a:defRPr>
                </a:pPr>
                <a:endParaRPr lang="en-US"/>
              </a:p>
            </c:txPr>
            <c:showVal val="1"/>
          </c:dLbls>
          <c:xVal>
            <c:numRef>
              <c:f>W2Calc!$C$20:$C$23</c:f>
              <c:numCache>
                <c:formatCode>#,##0</c:formatCode>
                <c:ptCount val="4"/>
                <c:pt idx="0">
                  <c:v>0</c:v>
                </c:pt>
                <c:pt idx="1">
                  <c:v>0</c:v>
                </c:pt>
                <c:pt idx="2">
                  <c:v>0</c:v>
                </c:pt>
                <c:pt idx="3">
                  <c:v>0</c:v>
                </c:pt>
              </c:numCache>
            </c:numRef>
          </c:xVal>
          <c:yVal>
            <c:numRef>
              <c:f>W2Calc!$D$20:$D$23</c:f>
              <c:numCache>
                <c:formatCode>#,##0</c:formatCode>
                <c:ptCount val="4"/>
                <c:pt idx="0">
                  <c:v>0</c:v>
                </c:pt>
                <c:pt idx="1">
                  <c:v>0</c:v>
                </c:pt>
                <c:pt idx="2">
                  <c:v>0</c:v>
                </c:pt>
                <c:pt idx="3">
                  <c:v>0</c:v>
                </c:pt>
              </c:numCache>
            </c:numRef>
          </c:yVal>
        </c:ser>
        <c:ser>
          <c:idx val="1"/>
          <c:order val="6"/>
          <c:tx>
            <c:v>115vph lower threshold</c:v>
          </c:tx>
          <c:spPr>
            <a:ln w="25400">
              <a:solidFill>
                <a:schemeClr val="tx1"/>
              </a:solidFill>
              <a:prstDash val="lgDashDotDot"/>
            </a:ln>
          </c:spPr>
          <c:marker>
            <c:symbol val="none"/>
          </c:marker>
          <c:xVal>
            <c:numRef>
              <c:f>W2Calc!$B$28:$B$29</c:f>
              <c:numCache>
                <c:formatCode>#,##0</c:formatCode>
                <c:ptCount val="2"/>
                <c:pt idx="0">
                  <c:v>300</c:v>
                </c:pt>
                <c:pt idx="1">
                  <c:v>1400</c:v>
                </c:pt>
              </c:numCache>
            </c:numRef>
          </c:xVal>
          <c:yVal>
            <c:numRef>
              <c:f>W2Calc!$C$28:$C$29</c:f>
              <c:numCache>
                <c:formatCode>#,##0</c:formatCode>
                <c:ptCount val="2"/>
                <c:pt idx="0">
                  <c:v>115</c:v>
                </c:pt>
                <c:pt idx="1">
                  <c:v>115</c:v>
                </c:pt>
              </c:numCache>
            </c:numRef>
          </c:yVal>
        </c:ser>
        <c:ser>
          <c:idx val="2"/>
          <c:order val="7"/>
          <c:tx>
            <c:v>80vph lower threshold</c:v>
          </c:tx>
          <c:spPr>
            <a:ln w="25400">
              <a:solidFill>
                <a:prstClr val="black"/>
              </a:solidFill>
              <a:prstDash val="lgDash"/>
            </a:ln>
          </c:spPr>
          <c:marker>
            <c:symbol val="none"/>
          </c:marker>
          <c:xVal>
            <c:numRef>
              <c:f>W2Calc!$B$28:$B$29</c:f>
              <c:numCache>
                <c:formatCode>#,##0</c:formatCode>
                <c:ptCount val="2"/>
                <c:pt idx="0">
                  <c:v>300</c:v>
                </c:pt>
                <c:pt idx="1">
                  <c:v>1400</c:v>
                </c:pt>
              </c:numCache>
            </c:numRef>
          </c:xVal>
          <c:yVal>
            <c:numRef>
              <c:f>W2Calc!$D$28:$D$29</c:f>
              <c:numCache>
                <c:formatCode>#,##0</c:formatCode>
                <c:ptCount val="2"/>
                <c:pt idx="0">
                  <c:v>80</c:v>
                </c:pt>
                <c:pt idx="1">
                  <c:v>80</c:v>
                </c:pt>
              </c:numCache>
            </c:numRef>
          </c:yVal>
        </c:ser>
        <c:axId val="116871552"/>
        <c:axId val="116873856"/>
      </c:scatterChart>
      <c:scatterChart>
        <c:scatterStyle val="smoothMarker"/>
        <c:ser>
          <c:idx val="7"/>
          <c:order val="0"/>
          <c:tx>
            <c:v>Active Curve</c:v>
          </c:tx>
          <c:spPr>
            <a:ln w="38100">
              <a:solidFill>
                <a:srgbClr val="FF0000"/>
              </a:solidFill>
            </a:ln>
          </c:spPr>
          <c:marker>
            <c:symbol val="none"/>
          </c:marker>
          <c:xVal>
            <c:numRef>
              <c:f>W2Calc!$U$13:$U$115</c:f>
              <c:numCache>
                <c:formatCode>0</c:formatCode>
                <c:ptCount val="103"/>
                <c:pt idx="0">
                  <c:v>380</c:v>
                </c:pt>
                <c:pt idx="1">
                  <c:v>390</c:v>
                </c:pt>
                <c:pt idx="2">
                  <c:v>400</c:v>
                </c:pt>
                <c:pt idx="3">
                  <c:v>410</c:v>
                </c:pt>
                <c:pt idx="4">
                  <c:v>420</c:v>
                </c:pt>
                <c:pt idx="5">
                  <c:v>430</c:v>
                </c:pt>
                <c:pt idx="6">
                  <c:v>440</c:v>
                </c:pt>
                <c:pt idx="7">
                  <c:v>450</c:v>
                </c:pt>
                <c:pt idx="8">
                  <c:v>460</c:v>
                </c:pt>
                <c:pt idx="9">
                  <c:v>470</c:v>
                </c:pt>
                <c:pt idx="10">
                  <c:v>480</c:v>
                </c:pt>
                <c:pt idx="11">
                  <c:v>490</c:v>
                </c:pt>
                <c:pt idx="12">
                  <c:v>500</c:v>
                </c:pt>
                <c:pt idx="13">
                  <c:v>510</c:v>
                </c:pt>
                <c:pt idx="14">
                  <c:v>520</c:v>
                </c:pt>
                <c:pt idx="15">
                  <c:v>530</c:v>
                </c:pt>
                <c:pt idx="16">
                  <c:v>540</c:v>
                </c:pt>
                <c:pt idx="17">
                  <c:v>550</c:v>
                </c:pt>
                <c:pt idx="18">
                  <c:v>560</c:v>
                </c:pt>
                <c:pt idx="19">
                  <c:v>570</c:v>
                </c:pt>
                <c:pt idx="20">
                  <c:v>580</c:v>
                </c:pt>
                <c:pt idx="21">
                  <c:v>590</c:v>
                </c:pt>
                <c:pt idx="22">
                  <c:v>600</c:v>
                </c:pt>
                <c:pt idx="23">
                  <c:v>610</c:v>
                </c:pt>
                <c:pt idx="24">
                  <c:v>620</c:v>
                </c:pt>
                <c:pt idx="25">
                  <c:v>630</c:v>
                </c:pt>
                <c:pt idx="26">
                  <c:v>640</c:v>
                </c:pt>
                <c:pt idx="27">
                  <c:v>650</c:v>
                </c:pt>
                <c:pt idx="28">
                  <c:v>660</c:v>
                </c:pt>
                <c:pt idx="29">
                  <c:v>670</c:v>
                </c:pt>
                <c:pt idx="30">
                  <c:v>680</c:v>
                </c:pt>
                <c:pt idx="31">
                  <c:v>690</c:v>
                </c:pt>
                <c:pt idx="32">
                  <c:v>700</c:v>
                </c:pt>
                <c:pt idx="33">
                  <c:v>710</c:v>
                </c:pt>
                <c:pt idx="34">
                  <c:v>720</c:v>
                </c:pt>
                <c:pt idx="35">
                  <c:v>730</c:v>
                </c:pt>
                <c:pt idx="36">
                  <c:v>740</c:v>
                </c:pt>
                <c:pt idx="37">
                  <c:v>750</c:v>
                </c:pt>
                <c:pt idx="38">
                  <c:v>760</c:v>
                </c:pt>
                <c:pt idx="39">
                  <c:v>770</c:v>
                </c:pt>
                <c:pt idx="40">
                  <c:v>780</c:v>
                </c:pt>
                <c:pt idx="41">
                  <c:v>790</c:v>
                </c:pt>
                <c:pt idx="42">
                  <c:v>800</c:v>
                </c:pt>
                <c:pt idx="43">
                  <c:v>810</c:v>
                </c:pt>
                <c:pt idx="44">
                  <c:v>820</c:v>
                </c:pt>
                <c:pt idx="45">
                  <c:v>830</c:v>
                </c:pt>
                <c:pt idx="46">
                  <c:v>840</c:v>
                </c:pt>
                <c:pt idx="47">
                  <c:v>850</c:v>
                </c:pt>
                <c:pt idx="48">
                  <c:v>860</c:v>
                </c:pt>
                <c:pt idx="49">
                  <c:v>870</c:v>
                </c:pt>
                <c:pt idx="50">
                  <c:v>880</c:v>
                </c:pt>
                <c:pt idx="51">
                  <c:v>890</c:v>
                </c:pt>
                <c:pt idx="52">
                  <c:v>900</c:v>
                </c:pt>
                <c:pt idx="53">
                  <c:v>910</c:v>
                </c:pt>
                <c:pt idx="54">
                  <c:v>920</c:v>
                </c:pt>
                <c:pt idx="55">
                  <c:v>930</c:v>
                </c:pt>
                <c:pt idx="56">
                  <c:v>940</c:v>
                </c:pt>
                <c:pt idx="57">
                  <c:v>950</c:v>
                </c:pt>
                <c:pt idx="58">
                  <c:v>960</c:v>
                </c:pt>
                <c:pt idx="59">
                  <c:v>970</c:v>
                </c:pt>
                <c:pt idx="60">
                  <c:v>980</c:v>
                </c:pt>
                <c:pt idx="61">
                  <c:v>990</c:v>
                </c:pt>
                <c:pt idx="62">
                  <c:v>1000</c:v>
                </c:pt>
                <c:pt idx="63">
                  <c:v>1010</c:v>
                </c:pt>
                <c:pt idx="64">
                  <c:v>1020</c:v>
                </c:pt>
                <c:pt idx="65">
                  <c:v>1030</c:v>
                </c:pt>
                <c:pt idx="66">
                  <c:v>1040</c:v>
                </c:pt>
                <c:pt idx="67">
                  <c:v>1050</c:v>
                </c:pt>
                <c:pt idx="68">
                  <c:v>1060</c:v>
                </c:pt>
                <c:pt idx="69">
                  <c:v>1070</c:v>
                </c:pt>
                <c:pt idx="70">
                  <c:v>1080</c:v>
                </c:pt>
                <c:pt idx="71">
                  <c:v>1090</c:v>
                </c:pt>
                <c:pt idx="72">
                  <c:v>1100</c:v>
                </c:pt>
                <c:pt idx="73">
                  <c:v>1110</c:v>
                </c:pt>
                <c:pt idx="74">
                  <c:v>1120</c:v>
                </c:pt>
                <c:pt idx="75">
                  <c:v>1130</c:v>
                </c:pt>
                <c:pt idx="76">
                  <c:v>1140</c:v>
                </c:pt>
                <c:pt idx="77">
                  <c:v>1150</c:v>
                </c:pt>
                <c:pt idx="78">
                  <c:v>1160</c:v>
                </c:pt>
                <c:pt idx="79">
                  <c:v>1170</c:v>
                </c:pt>
                <c:pt idx="80">
                  <c:v>1180</c:v>
                </c:pt>
                <c:pt idx="81">
                  <c:v>1190</c:v>
                </c:pt>
                <c:pt idx="82">
                  <c:v>1200</c:v>
                </c:pt>
                <c:pt idx="83">
                  <c:v>1210</c:v>
                </c:pt>
                <c:pt idx="84">
                  <c:v>1220</c:v>
                </c:pt>
                <c:pt idx="85">
                  <c:v>1230</c:v>
                </c:pt>
                <c:pt idx="86">
                  <c:v>1240</c:v>
                </c:pt>
                <c:pt idx="87">
                  <c:v>1250</c:v>
                </c:pt>
                <c:pt idx="88">
                  <c:v>1260</c:v>
                </c:pt>
                <c:pt idx="89">
                  <c:v>1270</c:v>
                </c:pt>
                <c:pt idx="90">
                  <c:v>1280</c:v>
                </c:pt>
                <c:pt idx="91">
                  <c:v>1290</c:v>
                </c:pt>
                <c:pt idx="92">
                  <c:v>1300</c:v>
                </c:pt>
                <c:pt idx="93">
                  <c:v>1310</c:v>
                </c:pt>
                <c:pt idx="94">
                  <c:v>1320</c:v>
                </c:pt>
                <c:pt idx="95">
                  <c:v>1330</c:v>
                </c:pt>
                <c:pt idx="96">
                  <c:v>1340</c:v>
                </c:pt>
                <c:pt idx="97">
                  <c:v>1350</c:v>
                </c:pt>
                <c:pt idx="98">
                  <c:v>1360</c:v>
                </c:pt>
                <c:pt idx="99">
                  <c:v>1370</c:v>
                </c:pt>
                <c:pt idx="100">
                  <c:v>1380</c:v>
                </c:pt>
                <c:pt idx="101">
                  <c:v>1390</c:v>
                </c:pt>
                <c:pt idx="102">
                  <c:v>1400</c:v>
                </c:pt>
              </c:numCache>
            </c:numRef>
          </c:xVal>
          <c:yVal>
            <c:numRef>
              <c:f>W2Calc!$V$13:$V$115</c:f>
              <c:numCache>
                <c:formatCode>0.00</c:formatCode>
                <c:ptCount val="103"/>
                <c:pt idx="0">
                  <c:v>404.01</c:v>
                </c:pt>
                <c:pt idx="1">
                  <c:v>398.35</c:v>
                </c:pt>
                <c:pt idx="2">
                  <c:v>392.73</c:v>
                </c:pt>
                <c:pt idx="3">
                  <c:v>387.13</c:v>
                </c:pt>
                <c:pt idx="4">
                  <c:v>381.57</c:v>
                </c:pt>
                <c:pt idx="5">
                  <c:v>376.04</c:v>
                </c:pt>
                <c:pt idx="6">
                  <c:v>370.54</c:v>
                </c:pt>
                <c:pt idx="7">
                  <c:v>365.07</c:v>
                </c:pt>
                <c:pt idx="8">
                  <c:v>359.64</c:v>
                </c:pt>
                <c:pt idx="9">
                  <c:v>354.25</c:v>
                </c:pt>
                <c:pt idx="10">
                  <c:v>348.9</c:v>
                </c:pt>
                <c:pt idx="11">
                  <c:v>343.59</c:v>
                </c:pt>
                <c:pt idx="12">
                  <c:v>338.32</c:v>
                </c:pt>
                <c:pt idx="13">
                  <c:v>333.1</c:v>
                </c:pt>
                <c:pt idx="14">
                  <c:v>327.91</c:v>
                </c:pt>
                <c:pt idx="15">
                  <c:v>322.77999999999997</c:v>
                </c:pt>
                <c:pt idx="16">
                  <c:v>317.68</c:v>
                </c:pt>
                <c:pt idx="17">
                  <c:v>312.64</c:v>
                </c:pt>
                <c:pt idx="18">
                  <c:v>307.64</c:v>
                </c:pt>
                <c:pt idx="19">
                  <c:v>302.69</c:v>
                </c:pt>
                <c:pt idx="20">
                  <c:v>297.79000000000002</c:v>
                </c:pt>
                <c:pt idx="21">
                  <c:v>292.94</c:v>
                </c:pt>
                <c:pt idx="22">
                  <c:v>288.14</c:v>
                </c:pt>
                <c:pt idx="23">
                  <c:v>283.39999999999998</c:v>
                </c:pt>
                <c:pt idx="24">
                  <c:v>278.7</c:v>
                </c:pt>
                <c:pt idx="25">
                  <c:v>274.06</c:v>
                </c:pt>
                <c:pt idx="26">
                  <c:v>269.48</c:v>
                </c:pt>
                <c:pt idx="27">
                  <c:v>264.95</c:v>
                </c:pt>
                <c:pt idx="28">
                  <c:v>260.47000000000003</c:v>
                </c:pt>
                <c:pt idx="29">
                  <c:v>256.05</c:v>
                </c:pt>
                <c:pt idx="30">
                  <c:v>251.69</c:v>
                </c:pt>
                <c:pt idx="31">
                  <c:v>247.38</c:v>
                </c:pt>
                <c:pt idx="32">
                  <c:v>243.13</c:v>
                </c:pt>
                <c:pt idx="33">
                  <c:v>238.94</c:v>
                </c:pt>
                <c:pt idx="34">
                  <c:v>234.8</c:v>
                </c:pt>
                <c:pt idx="35">
                  <c:v>230.73</c:v>
                </c:pt>
                <c:pt idx="36">
                  <c:v>226.71</c:v>
                </c:pt>
                <c:pt idx="37">
                  <c:v>222.75</c:v>
                </c:pt>
                <c:pt idx="38">
                  <c:v>218.85</c:v>
                </c:pt>
                <c:pt idx="39">
                  <c:v>215.01</c:v>
                </c:pt>
                <c:pt idx="40">
                  <c:v>211.23</c:v>
                </c:pt>
                <c:pt idx="41">
                  <c:v>207.51</c:v>
                </c:pt>
                <c:pt idx="42">
                  <c:v>203.85</c:v>
                </c:pt>
                <c:pt idx="43">
                  <c:v>200.25</c:v>
                </c:pt>
                <c:pt idx="44">
                  <c:v>196.71</c:v>
                </c:pt>
                <c:pt idx="45">
                  <c:v>193.23</c:v>
                </c:pt>
                <c:pt idx="46">
                  <c:v>189.8</c:v>
                </c:pt>
                <c:pt idx="47">
                  <c:v>186.44</c:v>
                </c:pt>
                <c:pt idx="48">
                  <c:v>183.14</c:v>
                </c:pt>
                <c:pt idx="49">
                  <c:v>179.89</c:v>
                </c:pt>
                <c:pt idx="50">
                  <c:v>176.71</c:v>
                </c:pt>
                <c:pt idx="51">
                  <c:v>173.58</c:v>
                </c:pt>
                <c:pt idx="52">
                  <c:v>170.51</c:v>
                </c:pt>
                <c:pt idx="53">
                  <c:v>167.5</c:v>
                </c:pt>
                <c:pt idx="54">
                  <c:v>164.54</c:v>
                </c:pt>
                <c:pt idx="55">
                  <c:v>161.65</c:v>
                </c:pt>
                <c:pt idx="56">
                  <c:v>158.81</c:v>
                </c:pt>
                <c:pt idx="57">
                  <c:v>156.02000000000001</c:v>
                </c:pt>
                <c:pt idx="58">
                  <c:v>153.30000000000001</c:v>
                </c:pt>
                <c:pt idx="59">
                  <c:v>150.62</c:v>
                </c:pt>
                <c:pt idx="60">
                  <c:v>148</c:v>
                </c:pt>
                <c:pt idx="61">
                  <c:v>145.44</c:v>
                </c:pt>
                <c:pt idx="62">
                  <c:v>142.93</c:v>
                </c:pt>
                <c:pt idx="63">
                  <c:v>140.47</c:v>
                </c:pt>
                <c:pt idx="64">
                  <c:v>138.06</c:v>
                </c:pt>
                <c:pt idx="65">
                  <c:v>135.69999999999999</c:v>
                </c:pt>
                <c:pt idx="66">
                  <c:v>133.4</c:v>
                </c:pt>
                <c:pt idx="67">
                  <c:v>131.13999999999999</c:v>
                </c:pt>
                <c:pt idx="68">
                  <c:v>128.93</c:v>
                </c:pt>
                <c:pt idx="69">
                  <c:v>126.77</c:v>
                </c:pt>
                <c:pt idx="70">
                  <c:v>124.65</c:v>
                </c:pt>
                <c:pt idx="71">
                  <c:v>122.58</c:v>
                </c:pt>
                <c:pt idx="72">
                  <c:v>120.56</c:v>
                </c:pt>
                <c:pt idx="73">
                  <c:v>118.58</c:v>
                </c:pt>
                <c:pt idx="74">
                  <c:v>116.64</c:v>
                </c:pt>
                <c:pt idx="75">
                  <c:v>114.74</c:v>
                </c:pt>
                <c:pt idx="76">
                  <c:v>112.88</c:v>
                </c:pt>
                <c:pt idx="77">
                  <c:v>111.06</c:v>
                </c:pt>
                <c:pt idx="78">
                  <c:v>109.27</c:v>
                </c:pt>
                <c:pt idx="79">
                  <c:v>107.52</c:v>
                </c:pt>
                <c:pt idx="80">
                  <c:v>105.81</c:v>
                </c:pt>
                <c:pt idx="81">
                  <c:v>104.13</c:v>
                </c:pt>
                <c:pt idx="82">
                  <c:v>102.48</c:v>
                </c:pt>
                <c:pt idx="83">
                  <c:v>100.87</c:v>
                </c:pt>
                <c:pt idx="84">
                  <c:v>99.28</c:v>
                </c:pt>
                <c:pt idx="85">
                  <c:v>97.72</c:v>
                </c:pt>
                <c:pt idx="86">
                  <c:v>96.18</c:v>
                </c:pt>
                <c:pt idx="87">
                  <c:v>94.67</c:v>
                </c:pt>
                <c:pt idx="88">
                  <c:v>93.18</c:v>
                </c:pt>
                <c:pt idx="89">
                  <c:v>91.71</c:v>
                </c:pt>
                <c:pt idx="90">
                  <c:v>90.26</c:v>
                </c:pt>
                <c:pt idx="91">
                  <c:v>88.83</c:v>
                </c:pt>
                <c:pt idx="92">
                  <c:v>87.42</c:v>
                </c:pt>
                <c:pt idx="93">
                  <c:v>86.01</c:v>
                </c:pt>
                <c:pt idx="94">
                  <c:v>84.62</c:v>
                </c:pt>
                <c:pt idx="95">
                  <c:v>83.24</c:v>
                </c:pt>
                <c:pt idx="96">
                  <c:v>81.87</c:v>
                </c:pt>
                <c:pt idx="97">
                  <c:v>80.5</c:v>
                </c:pt>
                <c:pt idx="98">
                  <c:v>80</c:v>
                </c:pt>
                <c:pt idx="99">
                  <c:v>80</c:v>
                </c:pt>
                <c:pt idx="100">
                  <c:v>80</c:v>
                </c:pt>
                <c:pt idx="101">
                  <c:v>80</c:v>
                </c:pt>
                <c:pt idx="102">
                  <c:v>80</c:v>
                </c:pt>
              </c:numCache>
            </c:numRef>
          </c:yVal>
          <c:smooth val="1"/>
        </c:ser>
        <c:ser>
          <c:idx val="3"/>
          <c:order val="1"/>
          <c:tx>
            <c:v>2+ Major &amp; 2+ Minor</c:v>
          </c:tx>
          <c:spPr>
            <a:ln w="12700" cmpd="sng">
              <a:solidFill>
                <a:srgbClr val="0000FF"/>
              </a:solidFill>
            </a:ln>
          </c:spPr>
          <c:marker>
            <c:symbol val="none"/>
          </c:marker>
          <c:xVal>
            <c:numRef>
              <c:f>W2Calc!$P$5:$P$115</c:f>
              <c:numCache>
                <c:formatCode>0</c:formatCode>
                <c:ptCount val="111"/>
                <c:pt idx="0">
                  <c:v>300</c:v>
                </c:pt>
                <c:pt idx="1">
                  <c:v>310</c:v>
                </c:pt>
                <c:pt idx="2">
                  <c:v>320</c:v>
                </c:pt>
                <c:pt idx="3">
                  <c:v>330</c:v>
                </c:pt>
                <c:pt idx="4">
                  <c:v>340</c:v>
                </c:pt>
                <c:pt idx="5">
                  <c:v>350</c:v>
                </c:pt>
                <c:pt idx="6">
                  <c:v>360</c:v>
                </c:pt>
                <c:pt idx="7">
                  <c:v>370</c:v>
                </c:pt>
                <c:pt idx="8">
                  <c:v>380</c:v>
                </c:pt>
                <c:pt idx="9">
                  <c:v>390</c:v>
                </c:pt>
                <c:pt idx="10">
                  <c:v>400</c:v>
                </c:pt>
                <c:pt idx="11">
                  <c:v>410</c:v>
                </c:pt>
                <c:pt idx="12">
                  <c:v>420</c:v>
                </c:pt>
                <c:pt idx="13">
                  <c:v>430</c:v>
                </c:pt>
                <c:pt idx="14">
                  <c:v>440</c:v>
                </c:pt>
                <c:pt idx="15">
                  <c:v>450</c:v>
                </c:pt>
                <c:pt idx="16">
                  <c:v>460</c:v>
                </c:pt>
                <c:pt idx="17">
                  <c:v>470</c:v>
                </c:pt>
                <c:pt idx="18">
                  <c:v>480</c:v>
                </c:pt>
                <c:pt idx="19">
                  <c:v>490</c:v>
                </c:pt>
                <c:pt idx="20">
                  <c:v>500</c:v>
                </c:pt>
                <c:pt idx="21">
                  <c:v>510</c:v>
                </c:pt>
                <c:pt idx="22">
                  <c:v>520</c:v>
                </c:pt>
                <c:pt idx="23">
                  <c:v>530</c:v>
                </c:pt>
                <c:pt idx="24">
                  <c:v>540</c:v>
                </c:pt>
                <c:pt idx="25">
                  <c:v>550</c:v>
                </c:pt>
                <c:pt idx="26">
                  <c:v>560</c:v>
                </c:pt>
                <c:pt idx="27">
                  <c:v>570</c:v>
                </c:pt>
                <c:pt idx="28">
                  <c:v>580</c:v>
                </c:pt>
                <c:pt idx="29">
                  <c:v>590</c:v>
                </c:pt>
                <c:pt idx="30">
                  <c:v>600</c:v>
                </c:pt>
                <c:pt idx="31">
                  <c:v>610</c:v>
                </c:pt>
                <c:pt idx="32">
                  <c:v>620</c:v>
                </c:pt>
                <c:pt idx="33">
                  <c:v>630</c:v>
                </c:pt>
                <c:pt idx="34">
                  <c:v>640</c:v>
                </c:pt>
                <c:pt idx="35">
                  <c:v>650</c:v>
                </c:pt>
                <c:pt idx="36">
                  <c:v>660</c:v>
                </c:pt>
                <c:pt idx="37">
                  <c:v>670</c:v>
                </c:pt>
                <c:pt idx="38">
                  <c:v>680</c:v>
                </c:pt>
                <c:pt idx="39">
                  <c:v>690</c:v>
                </c:pt>
                <c:pt idx="40">
                  <c:v>700</c:v>
                </c:pt>
                <c:pt idx="41">
                  <c:v>710</c:v>
                </c:pt>
                <c:pt idx="42">
                  <c:v>720</c:v>
                </c:pt>
                <c:pt idx="43">
                  <c:v>730</c:v>
                </c:pt>
                <c:pt idx="44">
                  <c:v>740</c:v>
                </c:pt>
                <c:pt idx="45">
                  <c:v>750</c:v>
                </c:pt>
                <c:pt idx="46">
                  <c:v>760</c:v>
                </c:pt>
                <c:pt idx="47">
                  <c:v>770</c:v>
                </c:pt>
                <c:pt idx="48">
                  <c:v>780</c:v>
                </c:pt>
                <c:pt idx="49">
                  <c:v>790</c:v>
                </c:pt>
                <c:pt idx="50">
                  <c:v>800</c:v>
                </c:pt>
                <c:pt idx="51">
                  <c:v>810</c:v>
                </c:pt>
                <c:pt idx="52">
                  <c:v>820</c:v>
                </c:pt>
                <c:pt idx="53">
                  <c:v>830</c:v>
                </c:pt>
                <c:pt idx="54">
                  <c:v>840</c:v>
                </c:pt>
                <c:pt idx="55">
                  <c:v>850</c:v>
                </c:pt>
                <c:pt idx="56">
                  <c:v>860</c:v>
                </c:pt>
                <c:pt idx="57">
                  <c:v>870</c:v>
                </c:pt>
                <c:pt idx="58">
                  <c:v>880</c:v>
                </c:pt>
                <c:pt idx="59">
                  <c:v>890</c:v>
                </c:pt>
                <c:pt idx="60">
                  <c:v>900</c:v>
                </c:pt>
                <c:pt idx="61">
                  <c:v>910</c:v>
                </c:pt>
                <c:pt idx="62">
                  <c:v>920</c:v>
                </c:pt>
                <c:pt idx="63">
                  <c:v>930</c:v>
                </c:pt>
                <c:pt idx="64">
                  <c:v>940</c:v>
                </c:pt>
                <c:pt idx="65">
                  <c:v>950</c:v>
                </c:pt>
                <c:pt idx="66">
                  <c:v>960</c:v>
                </c:pt>
                <c:pt idx="67">
                  <c:v>970</c:v>
                </c:pt>
                <c:pt idx="68">
                  <c:v>980</c:v>
                </c:pt>
                <c:pt idx="69">
                  <c:v>990</c:v>
                </c:pt>
                <c:pt idx="70">
                  <c:v>1000</c:v>
                </c:pt>
                <c:pt idx="71">
                  <c:v>1010</c:v>
                </c:pt>
                <c:pt idx="72">
                  <c:v>1020</c:v>
                </c:pt>
                <c:pt idx="73">
                  <c:v>1030</c:v>
                </c:pt>
                <c:pt idx="74">
                  <c:v>1040</c:v>
                </c:pt>
                <c:pt idx="75">
                  <c:v>1050</c:v>
                </c:pt>
                <c:pt idx="76">
                  <c:v>1060</c:v>
                </c:pt>
                <c:pt idx="77">
                  <c:v>1070</c:v>
                </c:pt>
                <c:pt idx="78">
                  <c:v>1080</c:v>
                </c:pt>
                <c:pt idx="79">
                  <c:v>1090</c:v>
                </c:pt>
                <c:pt idx="80">
                  <c:v>1100</c:v>
                </c:pt>
                <c:pt idx="81">
                  <c:v>1110</c:v>
                </c:pt>
                <c:pt idx="82">
                  <c:v>1120</c:v>
                </c:pt>
                <c:pt idx="83">
                  <c:v>1130</c:v>
                </c:pt>
                <c:pt idx="84">
                  <c:v>1140</c:v>
                </c:pt>
                <c:pt idx="85">
                  <c:v>1150</c:v>
                </c:pt>
                <c:pt idx="86">
                  <c:v>1160</c:v>
                </c:pt>
                <c:pt idx="87">
                  <c:v>1170</c:v>
                </c:pt>
                <c:pt idx="88">
                  <c:v>1180</c:v>
                </c:pt>
                <c:pt idx="89">
                  <c:v>1190</c:v>
                </c:pt>
                <c:pt idx="90">
                  <c:v>1200</c:v>
                </c:pt>
                <c:pt idx="91">
                  <c:v>1210</c:v>
                </c:pt>
                <c:pt idx="92">
                  <c:v>1220</c:v>
                </c:pt>
                <c:pt idx="93">
                  <c:v>1230</c:v>
                </c:pt>
                <c:pt idx="94">
                  <c:v>1240</c:v>
                </c:pt>
                <c:pt idx="95">
                  <c:v>1250</c:v>
                </c:pt>
                <c:pt idx="96">
                  <c:v>1260</c:v>
                </c:pt>
                <c:pt idx="97">
                  <c:v>1270</c:v>
                </c:pt>
                <c:pt idx="98">
                  <c:v>1280</c:v>
                </c:pt>
                <c:pt idx="99">
                  <c:v>1290</c:v>
                </c:pt>
                <c:pt idx="100">
                  <c:v>1300</c:v>
                </c:pt>
                <c:pt idx="101">
                  <c:v>1310</c:v>
                </c:pt>
                <c:pt idx="102">
                  <c:v>1320</c:v>
                </c:pt>
                <c:pt idx="103">
                  <c:v>1330</c:v>
                </c:pt>
                <c:pt idx="104">
                  <c:v>1340</c:v>
                </c:pt>
                <c:pt idx="105">
                  <c:v>1350</c:v>
                </c:pt>
                <c:pt idx="106">
                  <c:v>1360</c:v>
                </c:pt>
                <c:pt idx="107">
                  <c:v>1370</c:v>
                </c:pt>
                <c:pt idx="108">
                  <c:v>1380</c:v>
                </c:pt>
                <c:pt idx="109">
                  <c:v>1390</c:v>
                </c:pt>
                <c:pt idx="110">
                  <c:v>1400</c:v>
                </c:pt>
              </c:numCache>
            </c:numRef>
          </c:xVal>
          <c:yVal>
            <c:numRef>
              <c:f>W2Calc!$Q$5:$Q$115</c:f>
              <c:numCache>
                <c:formatCode>0.00</c:formatCode>
                <c:ptCount val="111"/>
                <c:pt idx="19">
                  <c:v>459.54</c:v>
                </c:pt>
                <c:pt idx="20">
                  <c:v>453.29</c:v>
                </c:pt>
                <c:pt idx="21">
                  <c:v>447.03</c:v>
                </c:pt>
                <c:pt idx="22">
                  <c:v>440.76</c:v>
                </c:pt>
                <c:pt idx="23">
                  <c:v>434.49</c:v>
                </c:pt>
                <c:pt idx="24">
                  <c:v>428.23</c:v>
                </c:pt>
                <c:pt idx="25">
                  <c:v>421.97</c:v>
                </c:pt>
                <c:pt idx="26">
                  <c:v>415.73</c:v>
                </c:pt>
                <c:pt idx="27">
                  <c:v>409.5</c:v>
                </c:pt>
                <c:pt idx="28">
                  <c:v>403.3</c:v>
                </c:pt>
                <c:pt idx="29">
                  <c:v>397.11</c:v>
                </c:pt>
                <c:pt idx="30">
                  <c:v>390.96</c:v>
                </c:pt>
                <c:pt idx="31">
                  <c:v>384.83</c:v>
                </c:pt>
                <c:pt idx="32">
                  <c:v>378.74</c:v>
                </c:pt>
                <c:pt idx="33">
                  <c:v>372.68</c:v>
                </c:pt>
                <c:pt idx="34">
                  <c:v>366.66</c:v>
                </c:pt>
                <c:pt idx="35">
                  <c:v>360.68</c:v>
                </c:pt>
                <c:pt idx="36">
                  <c:v>354.75</c:v>
                </c:pt>
                <c:pt idx="37">
                  <c:v>348.87</c:v>
                </c:pt>
                <c:pt idx="38">
                  <c:v>343.04</c:v>
                </c:pt>
                <c:pt idx="39">
                  <c:v>337.26</c:v>
                </c:pt>
                <c:pt idx="40">
                  <c:v>331.54</c:v>
                </c:pt>
                <c:pt idx="41">
                  <c:v>325.87</c:v>
                </c:pt>
                <c:pt idx="42">
                  <c:v>320.27</c:v>
                </c:pt>
                <c:pt idx="43">
                  <c:v>314.73</c:v>
                </c:pt>
                <c:pt idx="44">
                  <c:v>309.25</c:v>
                </c:pt>
                <c:pt idx="45">
                  <c:v>303.83</c:v>
                </c:pt>
                <c:pt idx="46">
                  <c:v>298.49</c:v>
                </c:pt>
                <c:pt idx="47">
                  <c:v>293.20999999999998</c:v>
                </c:pt>
                <c:pt idx="48">
                  <c:v>288</c:v>
                </c:pt>
                <c:pt idx="49">
                  <c:v>282.87</c:v>
                </c:pt>
                <c:pt idx="50">
                  <c:v>277.81</c:v>
                </c:pt>
                <c:pt idx="51">
                  <c:v>272.82</c:v>
                </c:pt>
                <c:pt idx="52">
                  <c:v>267.91000000000003</c:v>
                </c:pt>
                <c:pt idx="53">
                  <c:v>263.07</c:v>
                </c:pt>
                <c:pt idx="54">
                  <c:v>258.31</c:v>
                </c:pt>
                <c:pt idx="55">
                  <c:v>253.63</c:v>
                </c:pt>
                <c:pt idx="56">
                  <c:v>249.03</c:v>
                </c:pt>
                <c:pt idx="57">
                  <c:v>244.51</c:v>
                </c:pt>
                <c:pt idx="58">
                  <c:v>240.07</c:v>
                </c:pt>
                <c:pt idx="59">
                  <c:v>235.71</c:v>
                </c:pt>
                <c:pt idx="60">
                  <c:v>231.43</c:v>
                </c:pt>
                <c:pt idx="61">
                  <c:v>227.22</c:v>
                </c:pt>
                <c:pt idx="62">
                  <c:v>223.1</c:v>
                </c:pt>
                <c:pt idx="63">
                  <c:v>219.06</c:v>
                </c:pt>
                <c:pt idx="64">
                  <c:v>215.1</c:v>
                </c:pt>
                <c:pt idx="65">
                  <c:v>211.22</c:v>
                </c:pt>
                <c:pt idx="66">
                  <c:v>207.42</c:v>
                </c:pt>
                <c:pt idx="67">
                  <c:v>203.69</c:v>
                </c:pt>
                <c:pt idx="68">
                  <c:v>200.04</c:v>
                </c:pt>
                <c:pt idx="69">
                  <c:v>196.47</c:v>
                </c:pt>
                <c:pt idx="70">
                  <c:v>192.98</c:v>
                </c:pt>
                <c:pt idx="71">
                  <c:v>189.56</c:v>
                </c:pt>
                <c:pt idx="72">
                  <c:v>186.22</c:v>
                </c:pt>
                <c:pt idx="73">
                  <c:v>182.94</c:v>
                </c:pt>
                <c:pt idx="74">
                  <c:v>179.74</c:v>
                </c:pt>
                <c:pt idx="75">
                  <c:v>176.61</c:v>
                </c:pt>
                <c:pt idx="76">
                  <c:v>173.55</c:v>
                </c:pt>
                <c:pt idx="77">
                  <c:v>170.55</c:v>
                </c:pt>
                <c:pt idx="78">
                  <c:v>167.62</c:v>
                </c:pt>
                <c:pt idx="79">
                  <c:v>164.75</c:v>
                </c:pt>
                <c:pt idx="80">
                  <c:v>161.94999999999999</c:v>
                </c:pt>
                <c:pt idx="81">
                  <c:v>159.19999999999999</c:v>
                </c:pt>
                <c:pt idx="82">
                  <c:v>156.51</c:v>
                </c:pt>
                <c:pt idx="83">
                  <c:v>153.87</c:v>
                </c:pt>
                <c:pt idx="84">
                  <c:v>151.29</c:v>
                </c:pt>
                <c:pt idx="85">
                  <c:v>148.75</c:v>
                </c:pt>
                <c:pt idx="86">
                  <c:v>146.26</c:v>
                </c:pt>
                <c:pt idx="87">
                  <c:v>143.82</c:v>
                </c:pt>
                <c:pt idx="88">
                  <c:v>141.41</c:v>
                </c:pt>
                <c:pt idx="89">
                  <c:v>139.05000000000001</c:v>
                </c:pt>
                <c:pt idx="90">
                  <c:v>136.71</c:v>
                </c:pt>
                <c:pt idx="91">
                  <c:v>134.41999999999999</c:v>
                </c:pt>
                <c:pt idx="92">
                  <c:v>132.13999999999999</c:v>
                </c:pt>
                <c:pt idx="93">
                  <c:v>129.9</c:v>
                </c:pt>
                <c:pt idx="94">
                  <c:v>127.68</c:v>
                </c:pt>
                <c:pt idx="95">
                  <c:v>125.47</c:v>
                </c:pt>
                <c:pt idx="96">
                  <c:v>123.28</c:v>
                </c:pt>
                <c:pt idx="97">
                  <c:v>121.1</c:v>
                </c:pt>
                <c:pt idx="98">
                  <c:v>118.92</c:v>
                </c:pt>
                <c:pt idx="99">
                  <c:v>116.75</c:v>
                </c:pt>
                <c:pt idx="100">
                  <c:v>115</c:v>
                </c:pt>
                <c:pt idx="101">
                  <c:v>115</c:v>
                </c:pt>
                <c:pt idx="102">
                  <c:v>115</c:v>
                </c:pt>
                <c:pt idx="103">
                  <c:v>115</c:v>
                </c:pt>
                <c:pt idx="104">
                  <c:v>115</c:v>
                </c:pt>
                <c:pt idx="105">
                  <c:v>115</c:v>
                </c:pt>
                <c:pt idx="106">
                  <c:v>115</c:v>
                </c:pt>
                <c:pt idx="107">
                  <c:v>115</c:v>
                </c:pt>
                <c:pt idx="108">
                  <c:v>115</c:v>
                </c:pt>
                <c:pt idx="109">
                  <c:v>115</c:v>
                </c:pt>
                <c:pt idx="110">
                  <c:v>115</c:v>
                </c:pt>
              </c:numCache>
            </c:numRef>
          </c:yVal>
          <c:smooth val="1"/>
        </c:ser>
        <c:ser>
          <c:idx val="4"/>
          <c:order val="2"/>
          <c:tx>
            <c:v>2+ Major &amp; 1 Minor</c:v>
          </c:tx>
          <c:spPr>
            <a:ln w="12700">
              <a:solidFill>
                <a:srgbClr val="00B050"/>
              </a:solidFill>
              <a:prstDash val="sysDash"/>
            </a:ln>
          </c:spPr>
          <c:marker>
            <c:symbol val="none"/>
          </c:marker>
          <c:xVal>
            <c:numRef>
              <c:f>W2Calc!$P$5:$P$115</c:f>
              <c:numCache>
                <c:formatCode>0</c:formatCode>
                <c:ptCount val="111"/>
                <c:pt idx="0">
                  <c:v>300</c:v>
                </c:pt>
                <c:pt idx="1">
                  <c:v>310</c:v>
                </c:pt>
                <c:pt idx="2">
                  <c:v>320</c:v>
                </c:pt>
                <c:pt idx="3">
                  <c:v>330</c:v>
                </c:pt>
                <c:pt idx="4">
                  <c:v>340</c:v>
                </c:pt>
                <c:pt idx="5">
                  <c:v>350</c:v>
                </c:pt>
                <c:pt idx="6">
                  <c:v>360</c:v>
                </c:pt>
                <c:pt idx="7">
                  <c:v>370</c:v>
                </c:pt>
                <c:pt idx="8">
                  <c:v>380</c:v>
                </c:pt>
                <c:pt idx="9">
                  <c:v>390</c:v>
                </c:pt>
                <c:pt idx="10">
                  <c:v>400</c:v>
                </c:pt>
                <c:pt idx="11">
                  <c:v>410</c:v>
                </c:pt>
                <c:pt idx="12">
                  <c:v>420</c:v>
                </c:pt>
                <c:pt idx="13">
                  <c:v>430</c:v>
                </c:pt>
                <c:pt idx="14">
                  <c:v>440</c:v>
                </c:pt>
                <c:pt idx="15">
                  <c:v>450</c:v>
                </c:pt>
                <c:pt idx="16">
                  <c:v>460</c:v>
                </c:pt>
                <c:pt idx="17">
                  <c:v>470</c:v>
                </c:pt>
                <c:pt idx="18">
                  <c:v>480</c:v>
                </c:pt>
                <c:pt idx="19">
                  <c:v>490</c:v>
                </c:pt>
                <c:pt idx="20">
                  <c:v>500</c:v>
                </c:pt>
                <c:pt idx="21">
                  <c:v>510</c:v>
                </c:pt>
                <c:pt idx="22">
                  <c:v>520</c:v>
                </c:pt>
                <c:pt idx="23">
                  <c:v>530</c:v>
                </c:pt>
                <c:pt idx="24">
                  <c:v>540</c:v>
                </c:pt>
                <c:pt idx="25">
                  <c:v>550</c:v>
                </c:pt>
                <c:pt idx="26">
                  <c:v>560</c:v>
                </c:pt>
                <c:pt idx="27">
                  <c:v>570</c:v>
                </c:pt>
                <c:pt idx="28">
                  <c:v>580</c:v>
                </c:pt>
                <c:pt idx="29">
                  <c:v>590</c:v>
                </c:pt>
                <c:pt idx="30">
                  <c:v>600</c:v>
                </c:pt>
                <c:pt idx="31">
                  <c:v>610</c:v>
                </c:pt>
                <c:pt idx="32">
                  <c:v>620</c:v>
                </c:pt>
                <c:pt idx="33">
                  <c:v>630</c:v>
                </c:pt>
                <c:pt idx="34">
                  <c:v>640</c:v>
                </c:pt>
                <c:pt idx="35">
                  <c:v>650</c:v>
                </c:pt>
                <c:pt idx="36">
                  <c:v>660</c:v>
                </c:pt>
                <c:pt idx="37">
                  <c:v>670</c:v>
                </c:pt>
                <c:pt idx="38">
                  <c:v>680</c:v>
                </c:pt>
                <c:pt idx="39">
                  <c:v>690</c:v>
                </c:pt>
                <c:pt idx="40">
                  <c:v>700</c:v>
                </c:pt>
                <c:pt idx="41">
                  <c:v>710</c:v>
                </c:pt>
                <c:pt idx="42">
                  <c:v>720</c:v>
                </c:pt>
                <c:pt idx="43">
                  <c:v>730</c:v>
                </c:pt>
                <c:pt idx="44">
                  <c:v>740</c:v>
                </c:pt>
                <c:pt idx="45">
                  <c:v>750</c:v>
                </c:pt>
                <c:pt idx="46">
                  <c:v>760</c:v>
                </c:pt>
                <c:pt idx="47">
                  <c:v>770</c:v>
                </c:pt>
                <c:pt idx="48">
                  <c:v>780</c:v>
                </c:pt>
                <c:pt idx="49">
                  <c:v>790</c:v>
                </c:pt>
                <c:pt idx="50">
                  <c:v>800</c:v>
                </c:pt>
                <c:pt idx="51">
                  <c:v>810</c:v>
                </c:pt>
                <c:pt idx="52">
                  <c:v>820</c:v>
                </c:pt>
                <c:pt idx="53">
                  <c:v>830</c:v>
                </c:pt>
                <c:pt idx="54">
                  <c:v>840</c:v>
                </c:pt>
                <c:pt idx="55">
                  <c:v>850</c:v>
                </c:pt>
                <c:pt idx="56">
                  <c:v>860</c:v>
                </c:pt>
                <c:pt idx="57">
                  <c:v>870</c:v>
                </c:pt>
                <c:pt idx="58">
                  <c:v>880</c:v>
                </c:pt>
                <c:pt idx="59">
                  <c:v>890</c:v>
                </c:pt>
                <c:pt idx="60">
                  <c:v>900</c:v>
                </c:pt>
                <c:pt idx="61">
                  <c:v>910</c:v>
                </c:pt>
                <c:pt idx="62">
                  <c:v>920</c:v>
                </c:pt>
                <c:pt idx="63">
                  <c:v>930</c:v>
                </c:pt>
                <c:pt idx="64">
                  <c:v>940</c:v>
                </c:pt>
                <c:pt idx="65">
                  <c:v>950</c:v>
                </c:pt>
                <c:pt idx="66">
                  <c:v>960</c:v>
                </c:pt>
                <c:pt idx="67">
                  <c:v>970</c:v>
                </c:pt>
                <c:pt idx="68">
                  <c:v>980</c:v>
                </c:pt>
                <c:pt idx="69">
                  <c:v>990</c:v>
                </c:pt>
                <c:pt idx="70">
                  <c:v>1000</c:v>
                </c:pt>
                <c:pt idx="71">
                  <c:v>1010</c:v>
                </c:pt>
                <c:pt idx="72">
                  <c:v>1020</c:v>
                </c:pt>
                <c:pt idx="73">
                  <c:v>1030</c:v>
                </c:pt>
                <c:pt idx="74">
                  <c:v>1040</c:v>
                </c:pt>
                <c:pt idx="75">
                  <c:v>1050</c:v>
                </c:pt>
                <c:pt idx="76">
                  <c:v>1060</c:v>
                </c:pt>
                <c:pt idx="77">
                  <c:v>1070</c:v>
                </c:pt>
                <c:pt idx="78">
                  <c:v>1080</c:v>
                </c:pt>
                <c:pt idx="79">
                  <c:v>1090</c:v>
                </c:pt>
                <c:pt idx="80">
                  <c:v>1100</c:v>
                </c:pt>
                <c:pt idx="81">
                  <c:v>1110</c:v>
                </c:pt>
                <c:pt idx="82">
                  <c:v>1120</c:v>
                </c:pt>
                <c:pt idx="83">
                  <c:v>1130</c:v>
                </c:pt>
                <c:pt idx="84">
                  <c:v>1140</c:v>
                </c:pt>
                <c:pt idx="85">
                  <c:v>1150</c:v>
                </c:pt>
                <c:pt idx="86">
                  <c:v>1160</c:v>
                </c:pt>
                <c:pt idx="87">
                  <c:v>1170</c:v>
                </c:pt>
                <c:pt idx="88">
                  <c:v>1180</c:v>
                </c:pt>
                <c:pt idx="89">
                  <c:v>1190</c:v>
                </c:pt>
                <c:pt idx="90">
                  <c:v>1200</c:v>
                </c:pt>
                <c:pt idx="91">
                  <c:v>1210</c:v>
                </c:pt>
                <c:pt idx="92">
                  <c:v>1220</c:v>
                </c:pt>
                <c:pt idx="93">
                  <c:v>1230</c:v>
                </c:pt>
                <c:pt idx="94">
                  <c:v>1240</c:v>
                </c:pt>
                <c:pt idx="95">
                  <c:v>1250</c:v>
                </c:pt>
                <c:pt idx="96">
                  <c:v>1260</c:v>
                </c:pt>
                <c:pt idx="97">
                  <c:v>1270</c:v>
                </c:pt>
                <c:pt idx="98">
                  <c:v>1280</c:v>
                </c:pt>
                <c:pt idx="99">
                  <c:v>1290</c:v>
                </c:pt>
                <c:pt idx="100">
                  <c:v>1300</c:v>
                </c:pt>
                <c:pt idx="101">
                  <c:v>1310</c:v>
                </c:pt>
                <c:pt idx="102">
                  <c:v>1320</c:v>
                </c:pt>
                <c:pt idx="103">
                  <c:v>1330</c:v>
                </c:pt>
                <c:pt idx="104">
                  <c:v>1340</c:v>
                </c:pt>
                <c:pt idx="105">
                  <c:v>1350</c:v>
                </c:pt>
                <c:pt idx="106">
                  <c:v>1360</c:v>
                </c:pt>
                <c:pt idx="107">
                  <c:v>1370</c:v>
                </c:pt>
                <c:pt idx="108">
                  <c:v>1380</c:v>
                </c:pt>
                <c:pt idx="109">
                  <c:v>1390</c:v>
                </c:pt>
                <c:pt idx="110">
                  <c:v>1400</c:v>
                </c:pt>
              </c:numCache>
            </c:numRef>
          </c:xVal>
          <c:yVal>
            <c:numRef>
              <c:f>W2Calc!$S$5:$S$115</c:f>
              <c:numCache>
                <c:formatCode>0.00</c:formatCode>
                <c:ptCount val="111"/>
                <c:pt idx="8">
                  <c:v>404.01</c:v>
                </c:pt>
                <c:pt idx="9">
                  <c:v>398.35</c:v>
                </c:pt>
                <c:pt idx="10">
                  <c:v>392.73</c:v>
                </c:pt>
                <c:pt idx="11">
                  <c:v>387.13</c:v>
                </c:pt>
                <c:pt idx="12">
                  <c:v>381.57</c:v>
                </c:pt>
                <c:pt idx="13">
                  <c:v>376.04</c:v>
                </c:pt>
                <c:pt idx="14">
                  <c:v>370.54</c:v>
                </c:pt>
                <c:pt idx="15">
                  <c:v>365.07</c:v>
                </c:pt>
                <c:pt idx="16">
                  <c:v>359.64</c:v>
                </c:pt>
                <c:pt idx="17">
                  <c:v>354.25</c:v>
                </c:pt>
                <c:pt idx="18">
                  <c:v>348.9</c:v>
                </c:pt>
                <c:pt idx="19">
                  <c:v>343.59</c:v>
                </c:pt>
                <c:pt idx="20">
                  <c:v>338.32</c:v>
                </c:pt>
                <c:pt idx="21">
                  <c:v>333.1</c:v>
                </c:pt>
                <c:pt idx="22">
                  <c:v>327.91</c:v>
                </c:pt>
                <c:pt idx="23">
                  <c:v>322.77999999999997</c:v>
                </c:pt>
                <c:pt idx="24">
                  <c:v>317.68</c:v>
                </c:pt>
                <c:pt idx="25">
                  <c:v>312.64</c:v>
                </c:pt>
                <c:pt idx="26">
                  <c:v>307.64</c:v>
                </c:pt>
                <c:pt idx="27">
                  <c:v>302.69</c:v>
                </c:pt>
                <c:pt idx="28">
                  <c:v>297.79000000000002</c:v>
                </c:pt>
                <c:pt idx="29">
                  <c:v>292.94</c:v>
                </c:pt>
                <c:pt idx="30">
                  <c:v>288.14</c:v>
                </c:pt>
                <c:pt idx="31">
                  <c:v>283.39999999999998</c:v>
                </c:pt>
                <c:pt idx="32">
                  <c:v>278.7</c:v>
                </c:pt>
                <c:pt idx="33">
                  <c:v>274.06</c:v>
                </c:pt>
                <c:pt idx="34">
                  <c:v>269.48</c:v>
                </c:pt>
                <c:pt idx="35">
                  <c:v>264.95</c:v>
                </c:pt>
                <c:pt idx="36">
                  <c:v>260.47000000000003</c:v>
                </c:pt>
                <c:pt idx="37">
                  <c:v>256.05</c:v>
                </c:pt>
                <c:pt idx="38">
                  <c:v>251.69</c:v>
                </c:pt>
                <c:pt idx="39">
                  <c:v>247.38</c:v>
                </c:pt>
                <c:pt idx="40">
                  <c:v>243.13</c:v>
                </c:pt>
                <c:pt idx="41">
                  <c:v>238.94</c:v>
                </c:pt>
                <c:pt idx="42">
                  <c:v>234.8</c:v>
                </c:pt>
                <c:pt idx="43">
                  <c:v>230.73</c:v>
                </c:pt>
                <c:pt idx="44">
                  <c:v>226.71</c:v>
                </c:pt>
                <c:pt idx="45">
                  <c:v>222.75</c:v>
                </c:pt>
                <c:pt idx="46">
                  <c:v>218.85</c:v>
                </c:pt>
                <c:pt idx="47">
                  <c:v>215.01</c:v>
                </c:pt>
                <c:pt idx="48">
                  <c:v>211.23</c:v>
                </c:pt>
                <c:pt idx="49">
                  <c:v>207.51</c:v>
                </c:pt>
                <c:pt idx="50">
                  <c:v>203.85</c:v>
                </c:pt>
                <c:pt idx="51">
                  <c:v>200.25</c:v>
                </c:pt>
                <c:pt idx="52">
                  <c:v>196.71</c:v>
                </c:pt>
                <c:pt idx="53">
                  <c:v>193.23</c:v>
                </c:pt>
                <c:pt idx="54">
                  <c:v>189.8</c:v>
                </c:pt>
                <c:pt idx="55">
                  <c:v>186.44</c:v>
                </c:pt>
                <c:pt idx="56">
                  <c:v>183.14</c:v>
                </c:pt>
                <c:pt idx="57">
                  <c:v>179.89</c:v>
                </c:pt>
                <c:pt idx="58">
                  <c:v>176.71</c:v>
                </c:pt>
                <c:pt idx="59">
                  <c:v>173.58</c:v>
                </c:pt>
                <c:pt idx="60">
                  <c:v>170.51</c:v>
                </c:pt>
                <c:pt idx="61">
                  <c:v>167.5</c:v>
                </c:pt>
                <c:pt idx="62">
                  <c:v>164.54</c:v>
                </c:pt>
                <c:pt idx="63">
                  <c:v>161.65</c:v>
                </c:pt>
                <c:pt idx="64">
                  <c:v>158.81</c:v>
                </c:pt>
                <c:pt idx="65">
                  <c:v>156.02000000000001</c:v>
                </c:pt>
                <c:pt idx="66">
                  <c:v>153.30000000000001</c:v>
                </c:pt>
                <c:pt idx="67">
                  <c:v>150.62</c:v>
                </c:pt>
                <c:pt idx="68">
                  <c:v>148</c:v>
                </c:pt>
                <c:pt idx="69">
                  <c:v>145.44</c:v>
                </c:pt>
                <c:pt idx="70">
                  <c:v>142.93</c:v>
                </c:pt>
                <c:pt idx="71">
                  <c:v>140.47</c:v>
                </c:pt>
                <c:pt idx="72">
                  <c:v>138.06</c:v>
                </c:pt>
                <c:pt idx="73">
                  <c:v>135.69999999999999</c:v>
                </c:pt>
                <c:pt idx="74">
                  <c:v>133.4</c:v>
                </c:pt>
                <c:pt idx="75">
                  <c:v>131.13999999999999</c:v>
                </c:pt>
                <c:pt idx="76">
                  <c:v>128.93</c:v>
                </c:pt>
                <c:pt idx="77">
                  <c:v>126.77</c:v>
                </c:pt>
                <c:pt idx="78">
                  <c:v>124.65</c:v>
                </c:pt>
                <c:pt idx="79">
                  <c:v>122.58</c:v>
                </c:pt>
                <c:pt idx="80">
                  <c:v>120.56</c:v>
                </c:pt>
                <c:pt idx="81">
                  <c:v>118.58</c:v>
                </c:pt>
                <c:pt idx="82">
                  <c:v>116.64</c:v>
                </c:pt>
                <c:pt idx="83">
                  <c:v>114.74</c:v>
                </c:pt>
                <c:pt idx="84">
                  <c:v>112.88</c:v>
                </c:pt>
                <c:pt idx="85">
                  <c:v>111.06</c:v>
                </c:pt>
                <c:pt idx="86">
                  <c:v>109.27</c:v>
                </c:pt>
                <c:pt idx="87">
                  <c:v>107.52</c:v>
                </c:pt>
                <c:pt idx="88">
                  <c:v>105.81</c:v>
                </c:pt>
                <c:pt idx="89">
                  <c:v>104.13</c:v>
                </c:pt>
                <c:pt idx="90">
                  <c:v>102.48</c:v>
                </c:pt>
                <c:pt idx="91">
                  <c:v>100.87</c:v>
                </c:pt>
                <c:pt idx="92">
                  <c:v>99.28</c:v>
                </c:pt>
                <c:pt idx="93">
                  <c:v>97.72</c:v>
                </c:pt>
                <c:pt idx="94">
                  <c:v>96.18</c:v>
                </c:pt>
                <c:pt idx="95">
                  <c:v>94.67</c:v>
                </c:pt>
                <c:pt idx="96">
                  <c:v>93.18</c:v>
                </c:pt>
                <c:pt idx="97">
                  <c:v>91.71</c:v>
                </c:pt>
                <c:pt idx="98">
                  <c:v>90.26</c:v>
                </c:pt>
                <c:pt idx="99">
                  <c:v>88.83</c:v>
                </c:pt>
                <c:pt idx="100">
                  <c:v>87.42</c:v>
                </c:pt>
                <c:pt idx="101">
                  <c:v>86.01</c:v>
                </c:pt>
                <c:pt idx="102">
                  <c:v>84.62</c:v>
                </c:pt>
                <c:pt idx="103">
                  <c:v>83.24</c:v>
                </c:pt>
                <c:pt idx="104">
                  <c:v>81.87</c:v>
                </c:pt>
                <c:pt idx="105">
                  <c:v>80.5</c:v>
                </c:pt>
                <c:pt idx="106">
                  <c:v>80</c:v>
                </c:pt>
                <c:pt idx="107">
                  <c:v>80</c:v>
                </c:pt>
                <c:pt idx="108">
                  <c:v>80</c:v>
                </c:pt>
                <c:pt idx="109">
                  <c:v>80</c:v>
                </c:pt>
                <c:pt idx="110">
                  <c:v>80</c:v>
                </c:pt>
              </c:numCache>
            </c:numRef>
          </c:yVal>
          <c:smooth val="1"/>
        </c:ser>
        <c:ser>
          <c:idx val="5"/>
          <c:order val="3"/>
          <c:tx>
            <c:v>1 Major &amp; 2+ Minor</c:v>
          </c:tx>
          <c:spPr>
            <a:ln w="12700">
              <a:solidFill>
                <a:srgbClr val="C00000"/>
              </a:solidFill>
              <a:prstDash val="sysDash"/>
            </a:ln>
          </c:spPr>
          <c:marker>
            <c:symbol val="none"/>
          </c:marker>
          <c:xVal>
            <c:numRef>
              <c:f>W2Calc!$P$5:$P$115</c:f>
              <c:numCache>
                <c:formatCode>0</c:formatCode>
                <c:ptCount val="111"/>
                <c:pt idx="0">
                  <c:v>300</c:v>
                </c:pt>
                <c:pt idx="1">
                  <c:v>310</c:v>
                </c:pt>
                <c:pt idx="2">
                  <c:v>320</c:v>
                </c:pt>
                <c:pt idx="3">
                  <c:v>330</c:v>
                </c:pt>
                <c:pt idx="4">
                  <c:v>340</c:v>
                </c:pt>
                <c:pt idx="5">
                  <c:v>350</c:v>
                </c:pt>
                <c:pt idx="6">
                  <c:v>360</c:v>
                </c:pt>
                <c:pt idx="7">
                  <c:v>370</c:v>
                </c:pt>
                <c:pt idx="8">
                  <c:v>380</c:v>
                </c:pt>
                <c:pt idx="9">
                  <c:v>390</c:v>
                </c:pt>
                <c:pt idx="10">
                  <c:v>400</c:v>
                </c:pt>
                <c:pt idx="11">
                  <c:v>410</c:v>
                </c:pt>
                <c:pt idx="12">
                  <c:v>420</c:v>
                </c:pt>
                <c:pt idx="13">
                  <c:v>430</c:v>
                </c:pt>
                <c:pt idx="14">
                  <c:v>440</c:v>
                </c:pt>
                <c:pt idx="15">
                  <c:v>450</c:v>
                </c:pt>
                <c:pt idx="16">
                  <c:v>460</c:v>
                </c:pt>
                <c:pt idx="17">
                  <c:v>470</c:v>
                </c:pt>
                <c:pt idx="18">
                  <c:v>480</c:v>
                </c:pt>
                <c:pt idx="19">
                  <c:v>490</c:v>
                </c:pt>
                <c:pt idx="20">
                  <c:v>500</c:v>
                </c:pt>
                <c:pt idx="21">
                  <c:v>510</c:v>
                </c:pt>
                <c:pt idx="22">
                  <c:v>520</c:v>
                </c:pt>
                <c:pt idx="23">
                  <c:v>530</c:v>
                </c:pt>
                <c:pt idx="24">
                  <c:v>540</c:v>
                </c:pt>
                <c:pt idx="25">
                  <c:v>550</c:v>
                </c:pt>
                <c:pt idx="26">
                  <c:v>560</c:v>
                </c:pt>
                <c:pt idx="27">
                  <c:v>570</c:v>
                </c:pt>
                <c:pt idx="28">
                  <c:v>580</c:v>
                </c:pt>
                <c:pt idx="29">
                  <c:v>590</c:v>
                </c:pt>
                <c:pt idx="30">
                  <c:v>600</c:v>
                </c:pt>
                <c:pt idx="31">
                  <c:v>610</c:v>
                </c:pt>
                <c:pt idx="32">
                  <c:v>620</c:v>
                </c:pt>
                <c:pt idx="33">
                  <c:v>630</c:v>
                </c:pt>
                <c:pt idx="34">
                  <c:v>640</c:v>
                </c:pt>
                <c:pt idx="35">
                  <c:v>650</c:v>
                </c:pt>
                <c:pt idx="36">
                  <c:v>660</c:v>
                </c:pt>
                <c:pt idx="37">
                  <c:v>670</c:v>
                </c:pt>
                <c:pt idx="38">
                  <c:v>680</c:v>
                </c:pt>
                <c:pt idx="39">
                  <c:v>690</c:v>
                </c:pt>
                <c:pt idx="40">
                  <c:v>700</c:v>
                </c:pt>
                <c:pt idx="41">
                  <c:v>710</c:v>
                </c:pt>
                <c:pt idx="42">
                  <c:v>720</c:v>
                </c:pt>
                <c:pt idx="43">
                  <c:v>730</c:v>
                </c:pt>
                <c:pt idx="44">
                  <c:v>740</c:v>
                </c:pt>
                <c:pt idx="45">
                  <c:v>750</c:v>
                </c:pt>
                <c:pt idx="46">
                  <c:v>760</c:v>
                </c:pt>
                <c:pt idx="47">
                  <c:v>770</c:v>
                </c:pt>
                <c:pt idx="48">
                  <c:v>780</c:v>
                </c:pt>
                <c:pt idx="49">
                  <c:v>790</c:v>
                </c:pt>
                <c:pt idx="50">
                  <c:v>800</c:v>
                </c:pt>
                <c:pt idx="51">
                  <c:v>810</c:v>
                </c:pt>
                <c:pt idx="52">
                  <c:v>820</c:v>
                </c:pt>
                <c:pt idx="53">
                  <c:v>830</c:v>
                </c:pt>
                <c:pt idx="54">
                  <c:v>840</c:v>
                </c:pt>
                <c:pt idx="55">
                  <c:v>850</c:v>
                </c:pt>
                <c:pt idx="56">
                  <c:v>860</c:v>
                </c:pt>
                <c:pt idx="57">
                  <c:v>870</c:v>
                </c:pt>
                <c:pt idx="58">
                  <c:v>880</c:v>
                </c:pt>
                <c:pt idx="59">
                  <c:v>890</c:v>
                </c:pt>
                <c:pt idx="60">
                  <c:v>900</c:v>
                </c:pt>
                <c:pt idx="61">
                  <c:v>910</c:v>
                </c:pt>
                <c:pt idx="62">
                  <c:v>920</c:v>
                </c:pt>
                <c:pt idx="63">
                  <c:v>930</c:v>
                </c:pt>
                <c:pt idx="64">
                  <c:v>940</c:v>
                </c:pt>
                <c:pt idx="65">
                  <c:v>950</c:v>
                </c:pt>
                <c:pt idx="66">
                  <c:v>960</c:v>
                </c:pt>
                <c:pt idx="67">
                  <c:v>970</c:v>
                </c:pt>
                <c:pt idx="68">
                  <c:v>980</c:v>
                </c:pt>
                <c:pt idx="69">
                  <c:v>990</c:v>
                </c:pt>
                <c:pt idx="70">
                  <c:v>1000</c:v>
                </c:pt>
                <c:pt idx="71">
                  <c:v>1010</c:v>
                </c:pt>
                <c:pt idx="72">
                  <c:v>1020</c:v>
                </c:pt>
                <c:pt idx="73">
                  <c:v>1030</c:v>
                </c:pt>
                <c:pt idx="74">
                  <c:v>1040</c:v>
                </c:pt>
                <c:pt idx="75">
                  <c:v>1050</c:v>
                </c:pt>
                <c:pt idx="76">
                  <c:v>1060</c:v>
                </c:pt>
                <c:pt idx="77">
                  <c:v>1070</c:v>
                </c:pt>
                <c:pt idx="78">
                  <c:v>1080</c:v>
                </c:pt>
                <c:pt idx="79">
                  <c:v>1090</c:v>
                </c:pt>
                <c:pt idx="80">
                  <c:v>1100</c:v>
                </c:pt>
                <c:pt idx="81">
                  <c:v>1110</c:v>
                </c:pt>
                <c:pt idx="82">
                  <c:v>1120</c:v>
                </c:pt>
                <c:pt idx="83">
                  <c:v>1130</c:v>
                </c:pt>
                <c:pt idx="84">
                  <c:v>1140</c:v>
                </c:pt>
                <c:pt idx="85">
                  <c:v>1150</c:v>
                </c:pt>
                <c:pt idx="86">
                  <c:v>1160</c:v>
                </c:pt>
                <c:pt idx="87">
                  <c:v>1170</c:v>
                </c:pt>
                <c:pt idx="88">
                  <c:v>1180</c:v>
                </c:pt>
                <c:pt idx="89">
                  <c:v>1190</c:v>
                </c:pt>
                <c:pt idx="90">
                  <c:v>1200</c:v>
                </c:pt>
                <c:pt idx="91">
                  <c:v>1210</c:v>
                </c:pt>
                <c:pt idx="92">
                  <c:v>1220</c:v>
                </c:pt>
                <c:pt idx="93">
                  <c:v>1230</c:v>
                </c:pt>
                <c:pt idx="94">
                  <c:v>1240</c:v>
                </c:pt>
                <c:pt idx="95">
                  <c:v>1250</c:v>
                </c:pt>
                <c:pt idx="96">
                  <c:v>1260</c:v>
                </c:pt>
                <c:pt idx="97">
                  <c:v>1270</c:v>
                </c:pt>
                <c:pt idx="98">
                  <c:v>1280</c:v>
                </c:pt>
                <c:pt idx="99">
                  <c:v>1290</c:v>
                </c:pt>
                <c:pt idx="100">
                  <c:v>1300</c:v>
                </c:pt>
                <c:pt idx="101">
                  <c:v>1310</c:v>
                </c:pt>
                <c:pt idx="102">
                  <c:v>1320</c:v>
                </c:pt>
                <c:pt idx="103">
                  <c:v>1330</c:v>
                </c:pt>
                <c:pt idx="104">
                  <c:v>1340</c:v>
                </c:pt>
                <c:pt idx="105">
                  <c:v>1350</c:v>
                </c:pt>
                <c:pt idx="106">
                  <c:v>1360</c:v>
                </c:pt>
                <c:pt idx="107">
                  <c:v>1370</c:v>
                </c:pt>
                <c:pt idx="108">
                  <c:v>1380</c:v>
                </c:pt>
                <c:pt idx="109">
                  <c:v>1390</c:v>
                </c:pt>
                <c:pt idx="110">
                  <c:v>1400</c:v>
                </c:pt>
              </c:numCache>
            </c:numRef>
          </c:xVal>
          <c:yVal>
            <c:numRef>
              <c:f>W2Calc!$R$5:$R$115</c:f>
              <c:numCache>
                <c:formatCode>0.00</c:formatCode>
                <c:ptCount val="111"/>
                <c:pt idx="8">
                  <c:v>404.01</c:v>
                </c:pt>
                <c:pt idx="9">
                  <c:v>398.35</c:v>
                </c:pt>
                <c:pt idx="10">
                  <c:v>392.73</c:v>
                </c:pt>
                <c:pt idx="11">
                  <c:v>387.13</c:v>
                </c:pt>
                <c:pt idx="12">
                  <c:v>381.57</c:v>
                </c:pt>
                <c:pt idx="13">
                  <c:v>376.04</c:v>
                </c:pt>
                <c:pt idx="14">
                  <c:v>370.54</c:v>
                </c:pt>
                <c:pt idx="15">
                  <c:v>365.07</c:v>
                </c:pt>
                <c:pt idx="16">
                  <c:v>359.64</c:v>
                </c:pt>
                <c:pt idx="17">
                  <c:v>354.25</c:v>
                </c:pt>
                <c:pt idx="18">
                  <c:v>348.9</c:v>
                </c:pt>
                <c:pt idx="19">
                  <c:v>343.59</c:v>
                </c:pt>
                <c:pt idx="20">
                  <c:v>338.32</c:v>
                </c:pt>
                <c:pt idx="21">
                  <c:v>333.1</c:v>
                </c:pt>
                <c:pt idx="22">
                  <c:v>327.91</c:v>
                </c:pt>
                <c:pt idx="23">
                  <c:v>322.77999999999997</c:v>
                </c:pt>
                <c:pt idx="24">
                  <c:v>317.68</c:v>
                </c:pt>
                <c:pt idx="25">
                  <c:v>312.64</c:v>
                </c:pt>
                <c:pt idx="26">
                  <c:v>307.64</c:v>
                </c:pt>
                <c:pt idx="27">
                  <c:v>302.69</c:v>
                </c:pt>
                <c:pt idx="28">
                  <c:v>297.79000000000002</c:v>
                </c:pt>
                <c:pt idx="29">
                  <c:v>292.94</c:v>
                </c:pt>
                <c:pt idx="30">
                  <c:v>288.14</c:v>
                </c:pt>
                <c:pt idx="31">
                  <c:v>283.39999999999998</c:v>
                </c:pt>
                <c:pt idx="32">
                  <c:v>278.7</c:v>
                </c:pt>
                <c:pt idx="33">
                  <c:v>274.06</c:v>
                </c:pt>
                <c:pt idx="34">
                  <c:v>269.48</c:v>
                </c:pt>
                <c:pt idx="35">
                  <c:v>264.95</c:v>
                </c:pt>
                <c:pt idx="36">
                  <c:v>260.47000000000003</c:v>
                </c:pt>
                <c:pt idx="37">
                  <c:v>256.05</c:v>
                </c:pt>
                <c:pt idx="38">
                  <c:v>251.69</c:v>
                </c:pt>
                <c:pt idx="39">
                  <c:v>247.38</c:v>
                </c:pt>
                <c:pt idx="40">
                  <c:v>243.13</c:v>
                </c:pt>
                <c:pt idx="41">
                  <c:v>238.94</c:v>
                </c:pt>
                <c:pt idx="42">
                  <c:v>234.8</c:v>
                </c:pt>
                <c:pt idx="43">
                  <c:v>230.73</c:v>
                </c:pt>
                <c:pt idx="44">
                  <c:v>226.71</c:v>
                </c:pt>
                <c:pt idx="45">
                  <c:v>222.75</c:v>
                </c:pt>
                <c:pt idx="46">
                  <c:v>218.85</c:v>
                </c:pt>
                <c:pt idx="47">
                  <c:v>215.01</c:v>
                </c:pt>
                <c:pt idx="48">
                  <c:v>211.23</c:v>
                </c:pt>
                <c:pt idx="49">
                  <c:v>207.51</c:v>
                </c:pt>
                <c:pt idx="50">
                  <c:v>203.85</c:v>
                </c:pt>
                <c:pt idx="51">
                  <c:v>200.25</c:v>
                </c:pt>
                <c:pt idx="52">
                  <c:v>196.71</c:v>
                </c:pt>
                <c:pt idx="53">
                  <c:v>193.23</c:v>
                </c:pt>
                <c:pt idx="54">
                  <c:v>189.8</c:v>
                </c:pt>
                <c:pt idx="55">
                  <c:v>186.44</c:v>
                </c:pt>
                <c:pt idx="56">
                  <c:v>183.14</c:v>
                </c:pt>
                <c:pt idx="57">
                  <c:v>179.89</c:v>
                </c:pt>
                <c:pt idx="58">
                  <c:v>176.71</c:v>
                </c:pt>
                <c:pt idx="59">
                  <c:v>173.58</c:v>
                </c:pt>
                <c:pt idx="60">
                  <c:v>170.51</c:v>
                </c:pt>
                <c:pt idx="61">
                  <c:v>167.5</c:v>
                </c:pt>
                <c:pt idx="62">
                  <c:v>164.54</c:v>
                </c:pt>
                <c:pt idx="63">
                  <c:v>161.65</c:v>
                </c:pt>
                <c:pt idx="64">
                  <c:v>158.81</c:v>
                </c:pt>
                <c:pt idx="65">
                  <c:v>156.02000000000001</c:v>
                </c:pt>
                <c:pt idx="66">
                  <c:v>153.30000000000001</c:v>
                </c:pt>
                <c:pt idx="67">
                  <c:v>150.62</c:v>
                </c:pt>
                <c:pt idx="68">
                  <c:v>148</c:v>
                </c:pt>
                <c:pt idx="69">
                  <c:v>145.44</c:v>
                </c:pt>
                <c:pt idx="70">
                  <c:v>142.93</c:v>
                </c:pt>
                <c:pt idx="71">
                  <c:v>140.47</c:v>
                </c:pt>
                <c:pt idx="72">
                  <c:v>138.06</c:v>
                </c:pt>
                <c:pt idx="73">
                  <c:v>135.69999999999999</c:v>
                </c:pt>
                <c:pt idx="74">
                  <c:v>133.4</c:v>
                </c:pt>
                <c:pt idx="75">
                  <c:v>131.13999999999999</c:v>
                </c:pt>
                <c:pt idx="76">
                  <c:v>128.93</c:v>
                </c:pt>
                <c:pt idx="77">
                  <c:v>126.77</c:v>
                </c:pt>
                <c:pt idx="78">
                  <c:v>124.65</c:v>
                </c:pt>
                <c:pt idx="79">
                  <c:v>122.58</c:v>
                </c:pt>
                <c:pt idx="80">
                  <c:v>120.56</c:v>
                </c:pt>
                <c:pt idx="81">
                  <c:v>118.58</c:v>
                </c:pt>
                <c:pt idx="82">
                  <c:v>116.64</c:v>
                </c:pt>
                <c:pt idx="83">
                  <c:v>115</c:v>
                </c:pt>
                <c:pt idx="84">
                  <c:v>115</c:v>
                </c:pt>
                <c:pt idx="85">
                  <c:v>115</c:v>
                </c:pt>
                <c:pt idx="86">
                  <c:v>115</c:v>
                </c:pt>
                <c:pt idx="87">
                  <c:v>115</c:v>
                </c:pt>
                <c:pt idx="88">
                  <c:v>115</c:v>
                </c:pt>
                <c:pt idx="89">
                  <c:v>115</c:v>
                </c:pt>
                <c:pt idx="90">
                  <c:v>115</c:v>
                </c:pt>
                <c:pt idx="91">
                  <c:v>115</c:v>
                </c:pt>
                <c:pt idx="92">
                  <c:v>115</c:v>
                </c:pt>
                <c:pt idx="93">
                  <c:v>115</c:v>
                </c:pt>
                <c:pt idx="94">
                  <c:v>115</c:v>
                </c:pt>
                <c:pt idx="95">
                  <c:v>115</c:v>
                </c:pt>
                <c:pt idx="96">
                  <c:v>115</c:v>
                </c:pt>
                <c:pt idx="97">
                  <c:v>115</c:v>
                </c:pt>
                <c:pt idx="98">
                  <c:v>115</c:v>
                </c:pt>
                <c:pt idx="99">
                  <c:v>115</c:v>
                </c:pt>
                <c:pt idx="100">
                  <c:v>115</c:v>
                </c:pt>
                <c:pt idx="101">
                  <c:v>115</c:v>
                </c:pt>
                <c:pt idx="102">
                  <c:v>115</c:v>
                </c:pt>
                <c:pt idx="103">
                  <c:v>115</c:v>
                </c:pt>
                <c:pt idx="104">
                  <c:v>115</c:v>
                </c:pt>
                <c:pt idx="105">
                  <c:v>115</c:v>
                </c:pt>
                <c:pt idx="106">
                  <c:v>115</c:v>
                </c:pt>
                <c:pt idx="107">
                  <c:v>115</c:v>
                </c:pt>
                <c:pt idx="108">
                  <c:v>115</c:v>
                </c:pt>
                <c:pt idx="109">
                  <c:v>115</c:v>
                </c:pt>
                <c:pt idx="110">
                  <c:v>115</c:v>
                </c:pt>
              </c:numCache>
            </c:numRef>
          </c:yVal>
          <c:smooth val="1"/>
        </c:ser>
        <c:ser>
          <c:idx val="6"/>
          <c:order val="4"/>
          <c:tx>
            <c:v>1 Major &amp; 1 Minor</c:v>
          </c:tx>
          <c:spPr>
            <a:ln w="12700">
              <a:solidFill>
                <a:srgbClr val="FF66FF"/>
              </a:solidFill>
            </a:ln>
          </c:spPr>
          <c:marker>
            <c:symbol val="none"/>
          </c:marker>
          <c:xVal>
            <c:numRef>
              <c:f>W2Calc!$P$5:$P$115</c:f>
              <c:numCache>
                <c:formatCode>0</c:formatCode>
                <c:ptCount val="111"/>
                <c:pt idx="0">
                  <c:v>300</c:v>
                </c:pt>
                <c:pt idx="1">
                  <c:v>310</c:v>
                </c:pt>
                <c:pt idx="2">
                  <c:v>320</c:v>
                </c:pt>
                <c:pt idx="3">
                  <c:v>330</c:v>
                </c:pt>
                <c:pt idx="4">
                  <c:v>340</c:v>
                </c:pt>
                <c:pt idx="5">
                  <c:v>350</c:v>
                </c:pt>
                <c:pt idx="6">
                  <c:v>360</c:v>
                </c:pt>
                <c:pt idx="7">
                  <c:v>370</c:v>
                </c:pt>
                <c:pt idx="8">
                  <c:v>380</c:v>
                </c:pt>
                <c:pt idx="9">
                  <c:v>390</c:v>
                </c:pt>
                <c:pt idx="10">
                  <c:v>400</c:v>
                </c:pt>
                <c:pt idx="11">
                  <c:v>410</c:v>
                </c:pt>
                <c:pt idx="12">
                  <c:v>420</c:v>
                </c:pt>
                <c:pt idx="13">
                  <c:v>430</c:v>
                </c:pt>
                <c:pt idx="14">
                  <c:v>440</c:v>
                </c:pt>
                <c:pt idx="15">
                  <c:v>450</c:v>
                </c:pt>
                <c:pt idx="16">
                  <c:v>460</c:v>
                </c:pt>
                <c:pt idx="17">
                  <c:v>470</c:v>
                </c:pt>
                <c:pt idx="18">
                  <c:v>480</c:v>
                </c:pt>
                <c:pt idx="19">
                  <c:v>490</c:v>
                </c:pt>
                <c:pt idx="20">
                  <c:v>500</c:v>
                </c:pt>
                <c:pt idx="21">
                  <c:v>510</c:v>
                </c:pt>
                <c:pt idx="22">
                  <c:v>520</c:v>
                </c:pt>
                <c:pt idx="23">
                  <c:v>530</c:v>
                </c:pt>
                <c:pt idx="24">
                  <c:v>540</c:v>
                </c:pt>
                <c:pt idx="25">
                  <c:v>550</c:v>
                </c:pt>
                <c:pt idx="26">
                  <c:v>560</c:v>
                </c:pt>
                <c:pt idx="27">
                  <c:v>570</c:v>
                </c:pt>
                <c:pt idx="28">
                  <c:v>580</c:v>
                </c:pt>
                <c:pt idx="29">
                  <c:v>590</c:v>
                </c:pt>
                <c:pt idx="30">
                  <c:v>600</c:v>
                </c:pt>
                <c:pt idx="31">
                  <c:v>610</c:v>
                </c:pt>
                <c:pt idx="32">
                  <c:v>620</c:v>
                </c:pt>
                <c:pt idx="33">
                  <c:v>630</c:v>
                </c:pt>
                <c:pt idx="34">
                  <c:v>640</c:v>
                </c:pt>
                <c:pt idx="35">
                  <c:v>650</c:v>
                </c:pt>
                <c:pt idx="36">
                  <c:v>660</c:v>
                </c:pt>
                <c:pt idx="37">
                  <c:v>670</c:v>
                </c:pt>
                <c:pt idx="38">
                  <c:v>680</c:v>
                </c:pt>
                <c:pt idx="39">
                  <c:v>690</c:v>
                </c:pt>
                <c:pt idx="40">
                  <c:v>700</c:v>
                </c:pt>
                <c:pt idx="41">
                  <c:v>710</c:v>
                </c:pt>
                <c:pt idx="42">
                  <c:v>720</c:v>
                </c:pt>
                <c:pt idx="43">
                  <c:v>730</c:v>
                </c:pt>
                <c:pt idx="44">
                  <c:v>740</c:v>
                </c:pt>
                <c:pt idx="45">
                  <c:v>750</c:v>
                </c:pt>
                <c:pt idx="46">
                  <c:v>760</c:v>
                </c:pt>
                <c:pt idx="47">
                  <c:v>770</c:v>
                </c:pt>
                <c:pt idx="48">
                  <c:v>780</c:v>
                </c:pt>
                <c:pt idx="49">
                  <c:v>790</c:v>
                </c:pt>
                <c:pt idx="50">
                  <c:v>800</c:v>
                </c:pt>
                <c:pt idx="51">
                  <c:v>810</c:v>
                </c:pt>
                <c:pt idx="52">
                  <c:v>820</c:v>
                </c:pt>
                <c:pt idx="53">
                  <c:v>830</c:v>
                </c:pt>
                <c:pt idx="54">
                  <c:v>840</c:v>
                </c:pt>
                <c:pt idx="55">
                  <c:v>850</c:v>
                </c:pt>
                <c:pt idx="56">
                  <c:v>860</c:v>
                </c:pt>
                <c:pt idx="57">
                  <c:v>870</c:v>
                </c:pt>
                <c:pt idx="58">
                  <c:v>880</c:v>
                </c:pt>
                <c:pt idx="59">
                  <c:v>890</c:v>
                </c:pt>
                <c:pt idx="60">
                  <c:v>900</c:v>
                </c:pt>
                <c:pt idx="61">
                  <c:v>910</c:v>
                </c:pt>
                <c:pt idx="62">
                  <c:v>920</c:v>
                </c:pt>
                <c:pt idx="63">
                  <c:v>930</c:v>
                </c:pt>
                <c:pt idx="64">
                  <c:v>940</c:v>
                </c:pt>
                <c:pt idx="65">
                  <c:v>950</c:v>
                </c:pt>
                <c:pt idx="66">
                  <c:v>960</c:v>
                </c:pt>
                <c:pt idx="67">
                  <c:v>970</c:v>
                </c:pt>
                <c:pt idx="68">
                  <c:v>980</c:v>
                </c:pt>
                <c:pt idx="69">
                  <c:v>990</c:v>
                </c:pt>
                <c:pt idx="70">
                  <c:v>1000</c:v>
                </c:pt>
                <c:pt idx="71">
                  <c:v>1010</c:v>
                </c:pt>
                <c:pt idx="72">
                  <c:v>1020</c:v>
                </c:pt>
                <c:pt idx="73">
                  <c:v>1030</c:v>
                </c:pt>
                <c:pt idx="74">
                  <c:v>1040</c:v>
                </c:pt>
                <c:pt idx="75">
                  <c:v>1050</c:v>
                </c:pt>
                <c:pt idx="76">
                  <c:v>1060</c:v>
                </c:pt>
                <c:pt idx="77">
                  <c:v>1070</c:v>
                </c:pt>
                <c:pt idx="78">
                  <c:v>1080</c:v>
                </c:pt>
                <c:pt idx="79">
                  <c:v>1090</c:v>
                </c:pt>
                <c:pt idx="80">
                  <c:v>1100</c:v>
                </c:pt>
                <c:pt idx="81">
                  <c:v>1110</c:v>
                </c:pt>
                <c:pt idx="82">
                  <c:v>1120</c:v>
                </c:pt>
                <c:pt idx="83">
                  <c:v>1130</c:v>
                </c:pt>
                <c:pt idx="84">
                  <c:v>1140</c:v>
                </c:pt>
                <c:pt idx="85">
                  <c:v>1150</c:v>
                </c:pt>
                <c:pt idx="86">
                  <c:v>1160</c:v>
                </c:pt>
                <c:pt idx="87">
                  <c:v>1170</c:v>
                </c:pt>
                <c:pt idx="88">
                  <c:v>1180</c:v>
                </c:pt>
                <c:pt idx="89">
                  <c:v>1190</c:v>
                </c:pt>
                <c:pt idx="90">
                  <c:v>1200</c:v>
                </c:pt>
                <c:pt idx="91">
                  <c:v>1210</c:v>
                </c:pt>
                <c:pt idx="92">
                  <c:v>1220</c:v>
                </c:pt>
                <c:pt idx="93">
                  <c:v>1230</c:v>
                </c:pt>
                <c:pt idx="94">
                  <c:v>1240</c:v>
                </c:pt>
                <c:pt idx="95">
                  <c:v>1250</c:v>
                </c:pt>
                <c:pt idx="96">
                  <c:v>1260</c:v>
                </c:pt>
                <c:pt idx="97">
                  <c:v>1270</c:v>
                </c:pt>
                <c:pt idx="98">
                  <c:v>1280</c:v>
                </c:pt>
                <c:pt idx="99">
                  <c:v>1290</c:v>
                </c:pt>
                <c:pt idx="100">
                  <c:v>1300</c:v>
                </c:pt>
                <c:pt idx="101">
                  <c:v>1310</c:v>
                </c:pt>
                <c:pt idx="102">
                  <c:v>1320</c:v>
                </c:pt>
                <c:pt idx="103">
                  <c:v>1330</c:v>
                </c:pt>
                <c:pt idx="104">
                  <c:v>1340</c:v>
                </c:pt>
                <c:pt idx="105">
                  <c:v>1350</c:v>
                </c:pt>
                <c:pt idx="106">
                  <c:v>1360</c:v>
                </c:pt>
                <c:pt idx="107">
                  <c:v>1370</c:v>
                </c:pt>
                <c:pt idx="108">
                  <c:v>1380</c:v>
                </c:pt>
                <c:pt idx="109">
                  <c:v>1390</c:v>
                </c:pt>
                <c:pt idx="110">
                  <c:v>1400</c:v>
                </c:pt>
              </c:numCache>
            </c:numRef>
          </c:xVal>
          <c:yVal>
            <c:numRef>
              <c:f>W2Calc!$T$5:$T$115</c:f>
              <c:numCache>
                <c:formatCode>0.00</c:formatCode>
                <c:ptCount val="111"/>
                <c:pt idx="8">
                  <c:v>318.27</c:v>
                </c:pt>
                <c:pt idx="9">
                  <c:v>312.91000000000003</c:v>
                </c:pt>
                <c:pt idx="10">
                  <c:v>307.64999999999998</c:v>
                </c:pt>
                <c:pt idx="11">
                  <c:v>302.47000000000003</c:v>
                </c:pt>
                <c:pt idx="12">
                  <c:v>297.38</c:v>
                </c:pt>
                <c:pt idx="13">
                  <c:v>292.38</c:v>
                </c:pt>
                <c:pt idx="14">
                  <c:v>287.45</c:v>
                </c:pt>
                <c:pt idx="15">
                  <c:v>282.61</c:v>
                </c:pt>
                <c:pt idx="16">
                  <c:v>277.83999999999997</c:v>
                </c:pt>
                <c:pt idx="17">
                  <c:v>273.14999999999998</c:v>
                </c:pt>
                <c:pt idx="18">
                  <c:v>268.54000000000002</c:v>
                </c:pt>
                <c:pt idx="19">
                  <c:v>263.99</c:v>
                </c:pt>
                <c:pt idx="20">
                  <c:v>259.51</c:v>
                </c:pt>
                <c:pt idx="21">
                  <c:v>255.1</c:v>
                </c:pt>
                <c:pt idx="22">
                  <c:v>250.76</c:v>
                </c:pt>
                <c:pt idx="23">
                  <c:v>246.48</c:v>
                </c:pt>
                <c:pt idx="24">
                  <c:v>242.27</c:v>
                </c:pt>
                <c:pt idx="25">
                  <c:v>238.11</c:v>
                </c:pt>
                <c:pt idx="26">
                  <c:v>234.01</c:v>
                </c:pt>
                <c:pt idx="27">
                  <c:v>229.98</c:v>
                </c:pt>
                <c:pt idx="28">
                  <c:v>225.99</c:v>
                </c:pt>
                <c:pt idx="29">
                  <c:v>222.07</c:v>
                </c:pt>
                <c:pt idx="30">
                  <c:v>218.19</c:v>
                </c:pt>
                <c:pt idx="31">
                  <c:v>214.38</c:v>
                </c:pt>
                <c:pt idx="32">
                  <c:v>210.61</c:v>
                </c:pt>
                <c:pt idx="33">
                  <c:v>206.89</c:v>
                </c:pt>
                <c:pt idx="34">
                  <c:v>203.22</c:v>
                </c:pt>
                <c:pt idx="35">
                  <c:v>199.61</c:v>
                </c:pt>
                <c:pt idx="36">
                  <c:v>196.04</c:v>
                </c:pt>
                <c:pt idx="37">
                  <c:v>192.51</c:v>
                </c:pt>
                <c:pt idx="38">
                  <c:v>189.04</c:v>
                </c:pt>
                <c:pt idx="39">
                  <c:v>185.6</c:v>
                </c:pt>
                <c:pt idx="40">
                  <c:v>182.22</c:v>
                </c:pt>
                <c:pt idx="41">
                  <c:v>178.88</c:v>
                </c:pt>
                <c:pt idx="42">
                  <c:v>175.58</c:v>
                </c:pt>
                <c:pt idx="43">
                  <c:v>172.33</c:v>
                </c:pt>
                <c:pt idx="44">
                  <c:v>169.12</c:v>
                </c:pt>
                <c:pt idx="45">
                  <c:v>165.95</c:v>
                </c:pt>
                <c:pt idx="46">
                  <c:v>162.83000000000001</c:v>
                </c:pt>
                <c:pt idx="47">
                  <c:v>159.75</c:v>
                </c:pt>
                <c:pt idx="48">
                  <c:v>156.71</c:v>
                </c:pt>
                <c:pt idx="49">
                  <c:v>153.72</c:v>
                </c:pt>
                <c:pt idx="50">
                  <c:v>150.77000000000001</c:v>
                </c:pt>
                <c:pt idx="51">
                  <c:v>147.86000000000001</c:v>
                </c:pt>
                <c:pt idx="52">
                  <c:v>145</c:v>
                </c:pt>
                <c:pt idx="53">
                  <c:v>142.18</c:v>
                </c:pt>
                <c:pt idx="54">
                  <c:v>139.4</c:v>
                </c:pt>
                <c:pt idx="55">
                  <c:v>136.66999999999999</c:v>
                </c:pt>
                <c:pt idx="56">
                  <c:v>133.97999999999999</c:v>
                </c:pt>
                <c:pt idx="57">
                  <c:v>131.34</c:v>
                </c:pt>
                <c:pt idx="58">
                  <c:v>128.74</c:v>
                </c:pt>
                <c:pt idx="59">
                  <c:v>126.19</c:v>
                </c:pt>
                <c:pt idx="60">
                  <c:v>123.69</c:v>
                </c:pt>
                <c:pt idx="61">
                  <c:v>121.23</c:v>
                </c:pt>
                <c:pt idx="62">
                  <c:v>118.83</c:v>
                </c:pt>
                <c:pt idx="63">
                  <c:v>116.47</c:v>
                </c:pt>
                <c:pt idx="64">
                  <c:v>114.16</c:v>
                </c:pt>
                <c:pt idx="65">
                  <c:v>111.91</c:v>
                </c:pt>
                <c:pt idx="66">
                  <c:v>109.71</c:v>
                </c:pt>
                <c:pt idx="67">
                  <c:v>107.57</c:v>
                </c:pt>
                <c:pt idx="68">
                  <c:v>105.48</c:v>
                </c:pt>
                <c:pt idx="69">
                  <c:v>103.44</c:v>
                </c:pt>
                <c:pt idx="70">
                  <c:v>101.47</c:v>
                </c:pt>
                <c:pt idx="71">
                  <c:v>99.55</c:v>
                </c:pt>
                <c:pt idx="72">
                  <c:v>97.7</c:v>
                </c:pt>
                <c:pt idx="73">
                  <c:v>95.9</c:v>
                </c:pt>
                <c:pt idx="74">
                  <c:v>94.18</c:v>
                </c:pt>
                <c:pt idx="75">
                  <c:v>92.52</c:v>
                </c:pt>
                <c:pt idx="76">
                  <c:v>90.92</c:v>
                </c:pt>
                <c:pt idx="77">
                  <c:v>89.4</c:v>
                </c:pt>
                <c:pt idx="78">
                  <c:v>87.95</c:v>
                </c:pt>
                <c:pt idx="79">
                  <c:v>86.57</c:v>
                </c:pt>
                <c:pt idx="80">
                  <c:v>85.27</c:v>
                </c:pt>
                <c:pt idx="81">
                  <c:v>84.04</c:v>
                </c:pt>
                <c:pt idx="82">
                  <c:v>82.9</c:v>
                </c:pt>
                <c:pt idx="83">
                  <c:v>81.84</c:v>
                </c:pt>
                <c:pt idx="84">
                  <c:v>80.86</c:v>
                </c:pt>
                <c:pt idx="85">
                  <c:v>80</c:v>
                </c:pt>
                <c:pt idx="86">
                  <c:v>80</c:v>
                </c:pt>
                <c:pt idx="87">
                  <c:v>80</c:v>
                </c:pt>
                <c:pt idx="88">
                  <c:v>80</c:v>
                </c:pt>
                <c:pt idx="89">
                  <c:v>80</c:v>
                </c:pt>
                <c:pt idx="90">
                  <c:v>80</c:v>
                </c:pt>
                <c:pt idx="91">
                  <c:v>80</c:v>
                </c:pt>
                <c:pt idx="92">
                  <c:v>80</c:v>
                </c:pt>
                <c:pt idx="93">
                  <c:v>80</c:v>
                </c:pt>
                <c:pt idx="94">
                  <c:v>80</c:v>
                </c:pt>
                <c:pt idx="95">
                  <c:v>80</c:v>
                </c:pt>
                <c:pt idx="96">
                  <c:v>80</c:v>
                </c:pt>
                <c:pt idx="97">
                  <c:v>80</c:v>
                </c:pt>
                <c:pt idx="98">
                  <c:v>80</c:v>
                </c:pt>
                <c:pt idx="99">
                  <c:v>80</c:v>
                </c:pt>
                <c:pt idx="100">
                  <c:v>80</c:v>
                </c:pt>
                <c:pt idx="101">
                  <c:v>80</c:v>
                </c:pt>
                <c:pt idx="102">
                  <c:v>80</c:v>
                </c:pt>
                <c:pt idx="103">
                  <c:v>80</c:v>
                </c:pt>
                <c:pt idx="104">
                  <c:v>80</c:v>
                </c:pt>
                <c:pt idx="105">
                  <c:v>80</c:v>
                </c:pt>
                <c:pt idx="106">
                  <c:v>80</c:v>
                </c:pt>
                <c:pt idx="107">
                  <c:v>80</c:v>
                </c:pt>
                <c:pt idx="108">
                  <c:v>80</c:v>
                </c:pt>
                <c:pt idx="109">
                  <c:v>80</c:v>
                </c:pt>
                <c:pt idx="110">
                  <c:v>80</c:v>
                </c:pt>
              </c:numCache>
            </c:numRef>
          </c:yVal>
          <c:smooth val="1"/>
        </c:ser>
        <c:axId val="116871552"/>
        <c:axId val="116873856"/>
      </c:scatterChart>
      <c:valAx>
        <c:axId val="116871552"/>
        <c:scaling>
          <c:orientation val="minMax"/>
          <c:max val="1400"/>
          <c:min val="300"/>
        </c:scaling>
        <c:axPos val="b"/>
        <c:majorGridlines>
          <c:spPr>
            <a:ln w="12700">
              <a:solidFill>
                <a:prstClr val="black"/>
              </a:solidFill>
            </a:ln>
          </c:spPr>
        </c:majorGridlines>
        <c:title>
          <c:tx>
            <c:rich>
              <a:bodyPr/>
              <a:lstStyle/>
              <a:p>
                <a:pPr>
                  <a:defRPr/>
                </a:pPr>
                <a:r>
                  <a:rPr lang="en-US"/>
                  <a:t>MAJOR ROUTE - TOTAL OF BOTH APPROACHES [VPH]</a:t>
                </a:r>
              </a:p>
            </c:rich>
          </c:tx>
          <c:layout/>
        </c:title>
        <c:numFmt formatCode="#,##0" sourceLinked="0"/>
        <c:tickLblPos val="nextTo"/>
        <c:spPr>
          <a:noFill/>
          <a:ln w="12700">
            <a:solidFill>
              <a:prstClr val="black"/>
            </a:solidFill>
          </a:ln>
        </c:spPr>
        <c:txPr>
          <a:bodyPr rot="-2700000"/>
          <a:lstStyle/>
          <a:p>
            <a:pPr>
              <a:defRPr/>
            </a:pPr>
            <a:endParaRPr lang="en-US"/>
          </a:p>
        </c:txPr>
        <c:crossAx val="116873856"/>
        <c:crosses val="autoZero"/>
        <c:crossBetween val="midCat"/>
        <c:majorUnit val="100"/>
        <c:minorUnit val="20"/>
      </c:valAx>
      <c:valAx>
        <c:axId val="116873856"/>
        <c:scaling>
          <c:orientation val="minMax"/>
          <c:max val="500"/>
          <c:min val="0"/>
        </c:scaling>
        <c:axPos val="l"/>
        <c:majorGridlines>
          <c:spPr>
            <a:ln>
              <a:solidFill>
                <a:prstClr val="black"/>
              </a:solidFill>
              <a:prstDash val="sysDash"/>
            </a:ln>
          </c:spPr>
        </c:majorGridlines>
        <c:title>
          <c:tx>
            <c:rich>
              <a:bodyPr rot="-5400000" vert="horz"/>
              <a:lstStyle/>
              <a:p>
                <a:pPr>
                  <a:defRPr/>
                </a:pPr>
                <a:r>
                  <a:rPr lang="en-US"/>
                  <a:t>MINOR  ROUTE</a:t>
                </a:r>
              </a:p>
              <a:p>
                <a:pPr>
                  <a:defRPr/>
                </a:pPr>
                <a:r>
                  <a:rPr lang="en-US"/>
                  <a:t>HIGH  VOLUMEN  APPROACH [VPH]</a:t>
                </a:r>
              </a:p>
            </c:rich>
          </c:tx>
          <c:layout/>
        </c:title>
        <c:numFmt formatCode="#,##0" sourceLinked="0"/>
        <c:tickLblPos val="nextTo"/>
        <c:spPr>
          <a:noFill/>
          <a:ln w="12700">
            <a:solidFill>
              <a:prstClr val="black"/>
            </a:solidFill>
            <a:prstDash val="solid"/>
          </a:ln>
        </c:spPr>
        <c:crossAx val="116871552"/>
        <c:crosses val="autoZero"/>
        <c:crossBetween val="midCat"/>
        <c:majorUnit val="100"/>
        <c:minorUnit val="10"/>
      </c:valAx>
      <c:spPr>
        <a:noFill/>
        <a:ln w="25400">
          <a:solidFill>
            <a:prstClr val="black"/>
          </a:solidFill>
        </a:ln>
      </c:spPr>
    </c:plotArea>
    <c:legend>
      <c:legendPos val="r"/>
      <c:layout>
        <c:manualLayout>
          <c:xMode val="edge"/>
          <c:yMode val="edge"/>
          <c:x val="0.79413848631239969"/>
          <c:y val="2.71985769220708E-2"/>
          <c:w val="0.20586151368760064"/>
          <c:h val="0.77125243065547133"/>
        </c:manualLayout>
      </c:layout>
      <c:txPr>
        <a:bodyPr/>
        <a:lstStyle/>
        <a:p>
          <a:pPr>
            <a:defRPr sz="870" baseline="0"/>
          </a:pPr>
          <a:endParaRPr lang="en-US"/>
        </a:p>
      </c:txPr>
    </c:legend>
    <c:plotVisOnly val="1"/>
    <c:dispBlanksAs val="gap"/>
  </c:chart>
  <c:spPr>
    <a:ln>
      <a:noFill/>
    </a:ln>
  </c:spPr>
  <c:printSettings>
    <c:headerFooter/>
    <c:pageMargins b="0.5" l="0.5" r="0.25" t="0.25" header="0.30000000000000032" footer="0.30000000000000032"/>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c:lang val="en-US"/>
  <c:chart>
    <c:plotArea>
      <c:layout>
        <c:manualLayout>
          <c:layoutTarget val="inner"/>
          <c:xMode val="edge"/>
          <c:yMode val="edge"/>
          <c:x val="0.13074788356769557"/>
          <c:y val="3.212178477690289E-2"/>
          <c:w val="0.6682210134361245"/>
          <c:h val="0.76095468066491778"/>
        </c:manualLayout>
      </c:layout>
      <c:scatterChart>
        <c:scatterStyle val="lineMarker"/>
        <c:ser>
          <c:idx val="0"/>
          <c:order val="5"/>
          <c:tx>
            <c:v>70% Volumne Level</c:v>
          </c:tx>
          <c:spPr>
            <a:ln>
              <a:noFill/>
            </a:ln>
          </c:spPr>
          <c:marker>
            <c:symbol val="circle"/>
            <c:size val="6"/>
            <c:spPr>
              <a:noFill/>
              <a:ln>
                <a:solidFill>
                  <a:srgbClr val="FF0000"/>
                </a:solidFill>
              </a:ln>
            </c:spPr>
          </c:marker>
          <c:dLbls>
            <c:dLbl>
              <c:idx val="0"/>
              <c:layout/>
              <c:tx>
                <c:strRef>
                  <c:f>W2Calc!$G$20</c:f>
                  <c:strCache>
                    <c:ptCount val="1"/>
                  </c:strCache>
                </c:strRef>
              </c:tx>
              <c:dLblPos val="t"/>
              <c:showVal val="1"/>
            </c:dLbl>
            <c:dLbl>
              <c:idx val="1"/>
              <c:layout/>
              <c:tx>
                <c:strRef>
                  <c:f>W2Calc!$G$21</c:f>
                  <c:strCache>
                    <c:ptCount val="1"/>
                  </c:strCache>
                </c:strRef>
              </c:tx>
              <c:dLblPos val="t"/>
              <c:showVal val="1"/>
            </c:dLbl>
            <c:dLbl>
              <c:idx val="2"/>
              <c:layout/>
              <c:tx>
                <c:strRef>
                  <c:f>W2Calc!$G$22</c:f>
                  <c:strCache>
                    <c:ptCount val="1"/>
                  </c:strCache>
                </c:strRef>
              </c:tx>
              <c:dLblPos val="t"/>
              <c:showVal val="1"/>
            </c:dLbl>
            <c:dLbl>
              <c:idx val="3"/>
              <c:layout/>
              <c:tx>
                <c:strRef>
                  <c:f>W2Calc!$G$23</c:f>
                  <c:strCache>
                    <c:ptCount val="1"/>
                  </c:strCache>
                </c:strRef>
              </c:tx>
              <c:dLblPos val="t"/>
              <c:showVal val="1"/>
            </c:dLbl>
            <c:txPr>
              <a:bodyPr rot="-2400000" anchor="b" anchorCtr="0"/>
              <a:lstStyle/>
              <a:p>
                <a:pPr>
                  <a:defRPr sz="900" b="1" i="0" baseline="0">
                    <a:solidFill>
                      <a:srgbClr val="FF0000"/>
                    </a:solidFill>
                    <a:latin typeface="Arial" pitchFamily="34" charset="0"/>
                  </a:defRPr>
                </a:pPr>
                <a:endParaRPr lang="en-US"/>
              </a:p>
            </c:txPr>
            <c:showVal val="1"/>
          </c:dLbls>
          <c:xVal>
            <c:numRef>
              <c:f>W2Calc!$H$20:$H$23</c:f>
            </c:numRef>
          </c:xVal>
          <c:yVal>
            <c:numRef>
              <c:f>W2Calc!$I$20:$I$23</c:f>
              <c:numCache>
                <c:formatCode>#,##0</c:formatCode>
                <c:ptCount val="4"/>
                <c:pt idx="0">
                  <c:v>0</c:v>
                </c:pt>
                <c:pt idx="1">
                  <c:v>0</c:v>
                </c:pt>
                <c:pt idx="2">
                  <c:v>0</c:v>
                </c:pt>
                <c:pt idx="3">
                  <c:v>0</c:v>
                </c:pt>
              </c:numCache>
            </c:numRef>
          </c:yVal>
        </c:ser>
        <c:ser>
          <c:idx val="1"/>
          <c:order val="6"/>
          <c:tx>
            <c:v>80vph lower threshold</c:v>
          </c:tx>
          <c:spPr>
            <a:ln w="25400">
              <a:solidFill>
                <a:schemeClr val="tx1"/>
              </a:solidFill>
              <a:prstDash val="lgDashDotDot"/>
            </a:ln>
          </c:spPr>
          <c:marker>
            <c:symbol val="none"/>
          </c:marker>
          <c:xVal>
            <c:numRef>
              <c:f>W2Calc!$G$28:$G$29</c:f>
              <c:numCache>
                <c:formatCode>#,##0</c:formatCode>
                <c:ptCount val="2"/>
                <c:pt idx="0">
                  <c:v>200</c:v>
                </c:pt>
                <c:pt idx="1">
                  <c:v>1000</c:v>
                </c:pt>
              </c:numCache>
            </c:numRef>
          </c:xVal>
          <c:yVal>
            <c:numRef>
              <c:f>W2Calc!$H$28:$H$29</c:f>
              <c:numCache>
                <c:formatCode>#,##0</c:formatCode>
                <c:ptCount val="2"/>
                <c:pt idx="0">
                  <c:v>80</c:v>
                </c:pt>
                <c:pt idx="1">
                  <c:v>80</c:v>
                </c:pt>
              </c:numCache>
            </c:numRef>
          </c:yVal>
        </c:ser>
        <c:ser>
          <c:idx val="2"/>
          <c:order val="7"/>
          <c:tx>
            <c:v>60vph lower threshold</c:v>
          </c:tx>
          <c:spPr>
            <a:ln w="25400">
              <a:solidFill>
                <a:prstClr val="black"/>
              </a:solidFill>
              <a:prstDash val="lgDash"/>
            </a:ln>
          </c:spPr>
          <c:marker>
            <c:symbol val="none"/>
          </c:marker>
          <c:xVal>
            <c:numRef>
              <c:f>W2Calc!$G$28:$G$29</c:f>
              <c:numCache>
                <c:formatCode>#,##0</c:formatCode>
                <c:ptCount val="2"/>
                <c:pt idx="0">
                  <c:v>200</c:v>
                </c:pt>
                <c:pt idx="1">
                  <c:v>1000</c:v>
                </c:pt>
              </c:numCache>
            </c:numRef>
          </c:xVal>
          <c:yVal>
            <c:numRef>
              <c:f>W2Calc!$I$28:$I$29</c:f>
              <c:numCache>
                <c:formatCode>#,##0</c:formatCode>
                <c:ptCount val="2"/>
                <c:pt idx="0">
                  <c:v>60</c:v>
                </c:pt>
                <c:pt idx="1">
                  <c:v>60</c:v>
                </c:pt>
              </c:numCache>
            </c:numRef>
          </c:yVal>
        </c:ser>
        <c:axId val="93359104"/>
        <c:axId val="93369472"/>
      </c:scatterChart>
      <c:scatterChart>
        <c:scatterStyle val="smoothMarker"/>
        <c:ser>
          <c:idx val="7"/>
          <c:order val="0"/>
          <c:tx>
            <c:v>Active Curve</c:v>
          </c:tx>
          <c:spPr>
            <a:ln w="38100">
              <a:solidFill>
                <a:srgbClr val="FF0000"/>
              </a:solidFill>
            </a:ln>
          </c:spPr>
          <c:marker>
            <c:symbol val="none"/>
          </c:marker>
          <c:xVal>
            <c:numRef>
              <c:f>W2Calc!$AC$11:$AC$85</c:f>
              <c:numCache>
                <c:formatCode>0</c:formatCode>
                <c:ptCount val="75"/>
                <c:pt idx="0">
                  <c:v>280</c:v>
                </c:pt>
                <c:pt idx="1">
                  <c:v>280</c:v>
                </c:pt>
                <c:pt idx="2">
                  <c:v>280</c:v>
                </c:pt>
                <c:pt idx="3">
                  <c:v>290</c:v>
                </c:pt>
                <c:pt idx="4">
                  <c:v>300</c:v>
                </c:pt>
                <c:pt idx="5">
                  <c:v>310</c:v>
                </c:pt>
                <c:pt idx="6">
                  <c:v>320</c:v>
                </c:pt>
                <c:pt idx="7">
                  <c:v>330</c:v>
                </c:pt>
                <c:pt idx="8">
                  <c:v>340</c:v>
                </c:pt>
                <c:pt idx="9">
                  <c:v>350</c:v>
                </c:pt>
                <c:pt idx="10">
                  <c:v>360</c:v>
                </c:pt>
                <c:pt idx="11">
                  <c:v>370</c:v>
                </c:pt>
                <c:pt idx="12">
                  <c:v>380</c:v>
                </c:pt>
                <c:pt idx="13">
                  <c:v>390</c:v>
                </c:pt>
                <c:pt idx="14">
                  <c:v>400</c:v>
                </c:pt>
                <c:pt idx="15">
                  <c:v>410</c:v>
                </c:pt>
                <c:pt idx="16">
                  <c:v>420</c:v>
                </c:pt>
                <c:pt idx="17">
                  <c:v>430</c:v>
                </c:pt>
                <c:pt idx="18">
                  <c:v>440</c:v>
                </c:pt>
                <c:pt idx="19">
                  <c:v>450</c:v>
                </c:pt>
                <c:pt idx="20">
                  <c:v>460</c:v>
                </c:pt>
                <c:pt idx="21">
                  <c:v>470</c:v>
                </c:pt>
                <c:pt idx="22">
                  <c:v>480</c:v>
                </c:pt>
                <c:pt idx="23">
                  <c:v>490</c:v>
                </c:pt>
                <c:pt idx="24">
                  <c:v>500</c:v>
                </c:pt>
                <c:pt idx="25">
                  <c:v>510</c:v>
                </c:pt>
                <c:pt idx="26">
                  <c:v>520</c:v>
                </c:pt>
                <c:pt idx="27">
                  <c:v>530</c:v>
                </c:pt>
                <c:pt idx="28">
                  <c:v>540</c:v>
                </c:pt>
                <c:pt idx="29">
                  <c:v>550</c:v>
                </c:pt>
                <c:pt idx="30">
                  <c:v>560</c:v>
                </c:pt>
                <c:pt idx="31">
                  <c:v>570</c:v>
                </c:pt>
                <c:pt idx="32">
                  <c:v>580</c:v>
                </c:pt>
                <c:pt idx="33">
                  <c:v>590</c:v>
                </c:pt>
                <c:pt idx="34">
                  <c:v>600</c:v>
                </c:pt>
                <c:pt idx="35">
                  <c:v>610</c:v>
                </c:pt>
                <c:pt idx="36">
                  <c:v>620</c:v>
                </c:pt>
                <c:pt idx="37">
                  <c:v>630</c:v>
                </c:pt>
                <c:pt idx="38">
                  <c:v>640</c:v>
                </c:pt>
                <c:pt idx="39">
                  <c:v>650</c:v>
                </c:pt>
                <c:pt idx="40">
                  <c:v>660</c:v>
                </c:pt>
                <c:pt idx="41">
                  <c:v>670</c:v>
                </c:pt>
                <c:pt idx="42">
                  <c:v>680</c:v>
                </c:pt>
                <c:pt idx="43">
                  <c:v>690</c:v>
                </c:pt>
                <c:pt idx="44">
                  <c:v>700</c:v>
                </c:pt>
                <c:pt idx="45">
                  <c:v>710</c:v>
                </c:pt>
                <c:pt idx="46">
                  <c:v>720</c:v>
                </c:pt>
                <c:pt idx="47">
                  <c:v>730</c:v>
                </c:pt>
                <c:pt idx="48">
                  <c:v>740</c:v>
                </c:pt>
                <c:pt idx="49">
                  <c:v>750</c:v>
                </c:pt>
                <c:pt idx="50">
                  <c:v>760</c:v>
                </c:pt>
                <c:pt idx="51">
                  <c:v>770</c:v>
                </c:pt>
                <c:pt idx="52">
                  <c:v>780</c:v>
                </c:pt>
                <c:pt idx="53">
                  <c:v>790</c:v>
                </c:pt>
                <c:pt idx="54">
                  <c:v>800</c:v>
                </c:pt>
                <c:pt idx="55">
                  <c:v>810</c:v>
                </c:pt>
                <c:pt idx="56">
                  <c:v>820</c:v>
                </c:pt>
                <c:pt idx="57">
                  <c:v>830</c:v>
                </c:pt>
                <c:pt idx="58">
                  <c:v>840</c:v>
                </c:pt>
                <c:pt idx="59">
                  <c:v>850</c:v>
                </c:pt>
                <c:pt idx="60">
                  <c:v>860</c:v>
                </c:pt>
                <c:pt idx="61">
                  <c:v>870</c:v>
                </c:pt>
                <c:pt idx="62">
                  <c:v>880</c:v>
                </c:pt>
                <c:pt idx="63">
                  <c:v>890</c:v>
                </c:pt>
                <c:pt idx="64">
                  <c:v>900</c:v>
                </c:pt>
                <c:pt idx="65">
                  <c:v>910</c:v>
                </c:pt>
                <c:pt idx="66">
                  <c:v>920</c:v>
                </c:pt>
                <c:pt idx="67">
                  <c:v>930</c:v>
                </c:pt>
                <c:pt idx="68">
                  <c:v>940</c:v>
                </c:pt>
                <c:pt idx="69">
                  <c:v>950</c:v>
                </c:pt>
                <c:pt idx="70">
                  <c:v>960</c:v>
                </c:pt>
                <c:pt idx="71">
                  <c:v>970</c:v>
                </c:pt>
                <c:pt idx="72">
                  <c:v>980</c:v>
                </c:pt>
                <c:pt idx="73">
                  <c:v>990</c:v>
                </c:pt>
                <c:pt idx="74">
                  <c:v>1000</c:v>
                </c:pt>
              </c:numCache>
            </c:numRef>
          </c:xVal>
          <c:yVal>
            <c:numRef>
              <c:f>W2Calc!$AD$11:$AD$85</c:f>
              <c:numCache>
                <c:formatCode>0.00</c:formatCode>
                <c:ptCount val="75"/>
                <c:pt idx="0">
                  <c:v>273.52</c:v>
                </c:pt>
                <c:pt idx="1">
                  <c:v>273.52</c:v>
                </c:pt>
                <c:pt idx="2">
                  <c:v>273.52</c:v>
                </c:pt>
                <c:pt idx="3">
                  <c:v>268.17</c:v>
                </c:pt>
                <c:pt idx="4">
                  <c:v>262.86</c:v>
                </c:pt>
                <c:pt idx="5">
                  <c:v>257.58</c:v>
                </c:pt>
                <c:pt idx="6">
                  <c:v>252.34</c:v>
                </c:pt>
                <c:pt idx="7">
                  <c:v>247.14</c:v>
                </c:pt>
                <c:pt idx="8">
                  <c:v>241.98</c:v>
                </c:pt>
                <c:pt idx="9">
                  <c:v>236.87</c:v>
                </c:pt>
                <c:pt idx="10">
                  <c:v>231.82</c:v>
                </c:pt>
                <c:pt idx="11">
                  <c:v>226.81</c:v>
                </c:pt>
                <c:pt idx="12">
                  <c:v>221.86</c:v>
                </c:pt>
                <c:pt idx="13">
                  <c:v>216.97</c:v>
                </c:pt>
                <c:pt idx="14">
                  <c:v>212.13</c:v>
                </c:pt>
                <c:pt idx="15">
                  <c:v>207.36</c:v>
                </c:pt>
                <c:pt idx="16">
                  <c:v>202.65</c:v>
                </c:pt>
                <c:pt idx="17">
                  <c:v>198</c:v>
                </c:pt>
                <c:pt idx="18">
                  <c:v>193.42</c:v>
                </c:pt>
                <c:pt idx="19">
                  <c:v>188.91</c:v>
                </c:pt>
                <c:pt idx="20">
                  <c:v>184.47</c:v>
                </c:pt>
                <c:pt idx="21">
                  <c:v>180.1</c:v>
                </c:pt>
                <c:pt idx="22">
                  <c:v>175.8</c:v>
                </c:pt>
                <c:pt idx="23">
                  <c:v>171.58</c:v>
                </c:pt>
                <c:pt idx="24">
                  <c:v>167.43</c:v>
                </c:pt>
                <c:pt idx="25">
                  <c:v>163.36000000000001</c:v>
                </c:pt>
                <c:pt idx="26">
                  <c:v>159.37</c:v>
                </c:pt>
                <c:pt idx="27">
                  <c:v>155.44999999999999</c:v>
                </c:pt>
                <c:pt idx="28">
                  <c:v>151.62</c:v>
                </c:pt>
                <c:pt idx="29">
                  <c:v>147.86000000000001</c:v>
                </c:pt>
                <c:pt idx="30">
                  <c:v>144.19</c:v>
                </c:pt>
                <c:pt idx="31">
                  <c:v>140.59</c:v>
                </c:pt>
                <c:pt idx="32">
                  <c:v>137.08000000000001</c:v>
                </c:pt>
                <c:pt idx="33">
                  <c:v>133.65</c:v>
                </c:pt>
                <c:pt idx="34">
                  <c:v>130.31</c:v>
                </c:pt>
                <c:pt idx="35">
                  <c:v>127.04</c:v>
                </c:pt>
                <c:pt idx="36">
                  <c:v>123.86</c:v>
                </c:pt>
                <c:pt idx="37">
                  <c:v>120.76</c:v>
                </c:pt>
                <c:pt idx="38">
                  <c:v>117.74</c:v>
                </c:pt>
                <c:pt idx="39">
                  <c:v>114.8</c:v>
                </c:pt>
                <c:pt idx="40">
                  <c:v>111.95</c:v>
                </c:pt>
                <c:pt idx="41">
                  <c:v>109.18</c:v>
                </c:pt>
                <c:pt idx="42">
                  <c:v>106.49</c:v>
                </c:pt>
                <c:pt idx="43">
                  <c:v>103.88</c:v>
                </c:pt>
                <c:pt idx="44">
                  <c:v>101.35</c:v>
                </c:pt>
                <c:pt idx="45">
                  <c:v>98.89</c:v>
                </c:pt>
                <c:pt idx="46">
                  <c:v>96.52</c:v>
                </c:pt>
                <c:pt idx="47">
                  <c:v>94.22</c:v>
                </c:pt>
                <c:pt idx="48">
                  <c:v>92</c:v>
                </c:pt>
                <c:pt idx="49">
                  <c:v>89.85</c:v>
                </c:pt>
                <c:pt idx="50">
                  <c:v>87.78</c:v>
                </c:pt>
                <c:pt idx="51">
                  <c:v>85.78</c:v>
                </c:pt>
                <c:pt idx="52">
                  <c:v>83.85</c:v>
                </c:pt>
                <c:pt idx="53">
                  <c:v>81.98</c:v>
                </c:pt>
                <c:pt idx="54">
                  <c:v>80.19</c:v>
                </c:pt>
                <c:pt idx="55">
                  <c:v>78.459999999999994</c:v>
                </c:pt>
                <c:pt idx="56">
                  <c:v>76.8</c:v>
                </c:pt>
                <c:pt idx="57">
                  <c:v>75.2</c:v>
                </c:pt>
                <c:pt idx="58">
                  <c:v>73.650000000000006</c:v>
                </c:pt>
                <c:pt idx="59">
                  <c:v>72.17</c:v>
                </c:pt>
                <c:pt idx="60">
                  <c:v>70.739999999999995</c:v>
                </c:pt>
                <c:pt idx="61">
                  <c:v>69.36</c:v>
                </c:pt>
                <c:pt idx="62">
                  <c:v>68.040000000000006</c:v>
                </c:pt>
                <c:pt idx="63">
                  <c:v>66.760000000000005</c:v>
                </c:pt>
                <c:pt idx="64">
                  <c:v>65.53</c:v>
                </c:pt>
                <c:pt idx="65">
                  <c:v>64.34</c:v>
                </c:pt>
                <c:pt idx="66">
                  <c:v>63.2</c:v>
                </c:pt>
                <c:pt idx="67">
                  <c:v>62.09</c:v>
                </c:pt>
                <c:pt idx="68">
                  <c:v>61.01</c:v>
                </c:pt>
                <c:pt idx="69">
                  <c:v>60</c:v>
                </c:pt>
                <c:pt idx="70">
                  <c:v>60</c:v>
                </c:pt>
                <c:pt idx="71">
                  <c:v>60</c:v>
                </c:pt>
                <c:pt idx="72">
                  <c:v>60</c:v>
                </c:pt>
                <c:pt idx="73">
                  <c:v>60</c:v>
                </c:pt>
                <c:pt idx="74">
                  <c:v>60</c:v>
                </c:pt>
              </c:numCache>
            </c:numRef>
          </c:yVal>
          <c:smooth val="1"/>
        </c:ser>
        <c:ser>
          <c:idx val="3"/>
          <c:order val="1"/>
          <c:tx>
            <c:v>2+ Major &amp; 2+ Minor</c:v>
          </c:tx>
          <c:spPr>
            <a:ln w="12700" cmpd="sng">
              <a:solidFill>
                <a:srgbClr val="0000FF"/>
              </a:solidFill>
            </a:ln>
          </c:spPr>
          <c:marker>
            <c:symbol val="none"/>
          </c:marker>
          <c:xVal>
            <c:numRef>
              <c:f>W2Calc!$X$5:$X$85</c:f>
              <c:numCache>
                <c:formatCode>0</c:formatCode>
                <c:ptCount val="81"/>
                <c:pt idx="0">
                  <c:v>200</c:v>
                </c:pt>
                <c:pt idx="1">
                  <c:v>210</c:v>
                </c:pt>
                <c:pt idx="2">
                  <c:v>220</c:v>
                </c:pt>
                <c:pt idx="3">
                  <c:v>230</c:v>
                </c:pt>
                <c:pt idx="4">
                  <c:v>240</c:v>
                </c:pt>
                <c:pt idx="5">
                  <c:v>250</c:v>
                </c:pt>
                <c:pt idx="6">
                  <c:v>260</c:v>
                </c:pt>
                <c:pt idx="7">
                  <c:v>270</c:v>
                </c:pt>
                <c:pt idx="8">
                  <c:v>280</c:v>
                </c:pt>
                <c:pt idx="9">
                  <c:v>290</c:v>
                </c:pt>
                <c:pt idx="10">
                  <c:v>300</c:v>
                </c:pt>
                <c:pt idx="11">
                  <c:v>310</c:v>
                </c:pt>
                <c:pt idx="12">
                  <c:v>320</c:v>
                </c:pt>
                <c:pt idx="13">
                  <c:v>330</c:v>
                </c:pt>
                <c:pt idx="14">
                  <c:v>340</c:v>
                </c:pt>
                <c:pt idx="15">
                  <c:v>350</c:v>
                </c:pt>
                <c:pt idx="16">
                  <c:v>360</c:v>
                </c:pt>
                <c:pt idx="17">
                  <c:v>370</c:v>
                </c:pt>
                <c:pt idx="18">
                  <c:v>380</c:v>
                </c:pt>
                <c:pt idx="19">
                  <c:v>390</c:v>
                </c:pt>
                <c:pt idx="20">
                  <c:v>400</c:v>
                </c:pt>
                <c:pt idx="21">
                  <c:v>410</c:v>
                </c:pt>
                <c:pt idx="22">
                  <c:v>420</c:v>
                </c:pt>
                <c:pt idx="23">
                  <c:v>430</c:v>
                </c:pt>
                <c:pt idx="24">
                  <c:v>440</c:v>
                </c:pt>
                <c:pt idx="25">
                  <c:v>450</c:v>
                </c:pt>
                <c:pt idx="26">
                  <c:v>460</c:v>
                </c:pt>
                <c:pt idx="27">
                  <c:v>470</c:v>
                </c:pt>
                <c:pt idx="28">
                  <c:v>480</c:v>
                </c:pt>
                <c:pt idx="29">
                  <c:v>490</c:v>
                </c:pt>
                <c:pt idx="30">
                  <c:v>500</c:v>
                </c:pt>
                <c:pt idx="31">
                  <c:v>510</c:v>
                </c:pt>
                <c:pt idx="32">
                  <c:v>520</c:v>
                </c:pt>
                <c:pt idx="33">
                  <c:v>530</c:v>
                </c:pt>
                <c:pt idx="34">
                  <c:v>540</c:v>
                </c:pt>
                <c:pt idx="35">
                  <c:v>550</c:v>
                </c:pt>
                <c:pt idx="36">
                  <c:v>560</c:v>
                </c:pt>
                <c:pt idx="37">
                  <c:v>570</c:v>
                </c:pt>
                <c:pt idx="38">
                  <c:v>580</c:v>
                </c:pt>
                <c:pt idx="39">
                  <c:v>590</c:v>
                </c:pt>
                <c:pt idx="40">
                  <c:v>600</c:v>
                </c:pt>
                <c:pt idx="41">
                  <c:v>610</c:v>
                </c:pt>
                <c:pt idx="42">
                  <c:v>620</c:v>
                </c:pt>
                <c:pt idx="43">
                  <c:v>630</c:v>
                </c:pt>
                <c:pt idx="44">
                  <c:v>640</c:v>
                </c:pt>
                <c:pt idx="45">
                  <c:v>650</c:v>
                </c:pt>
                <c:pt idx="46">
                  <c:v>660</c:v>
                </c:pt>
                <c:pt idx="47">
                  <c:v>670</c:v>
                </c:pt>
                <c:pt idx="48">
                  <c:v>680</c:v>
                </c:pt>
                <c:pt idx="49">
                  <c:v>690</c:v>
                </c:pt>
                <c:pt idx="50">
                  <c:v>700</c:v>
                </c:pt>
                <c:pt idx="51">
                  <c:v>710</c:v>
                </c:pt>
                <c:pt idx="52">
                  <c:v>720</c:v>
                </c:pt>
                <c:pt idx="53">
                  <c:v>730</c:v>
                </c:pt>
                <c:pt idx="54">
                  <c:v>740</c:v>
                </c:pt>
                <c:pt idx="55">
                  <c:v>750</c:v>
                </c:pt>
                <c:pt idx="56">
                  <c:v>760</c:v>
                </c:pt>
                <c:pt idx="57">
                  <c:v>770</c:v>
                </c:pt>
                <c:pt idx="58">
                  <c:v>780</c:v>
                </c:pt>
                <c:pt idx="59">
                  <c:v>790</c:v>
                </c:pt>
                <c:pt idx="60">
                  <c:v>800</c:v>
                </c:pt>
                <c:pt idx="61">
                  <c:v>810</c:v>
                </c:pt>
                <c:pt idx="62">
                  <c:v>820</c:v>
                </c:pt>
                <c:pt idx="63">
                  <c:v>830</c:v>
                </c:pt>
                <c:pt idx="64">
                  <c:v>840</c:v>
                </c:pt>
                <c:pt idx="65">
                  <c:v>850</c:v>
                </c:pt>
                <c:pt idx="66">
                  <c:v>860</c:v>
                </c:pt>
                <c:pt idx="67">
                  <c:v>870</c:v>
                </c:pt>
                <c:pt idx="68">
                  <c:v>880</c:v>
                </c:pt>
                <c:pt idx="69">
                  <c:v>890</c:v>
                </c:pt>
                <c:pt idx="70">
                  <c:v>900</c:v>
                </c:pt>
                <c:pt idx="71">
                  <c:v>910</c:v>
                </c:pt>
                <c:pt idx="72">
                  <c:v>920</c:v>
                </c:pt>
                <c:pt idx="73">
                  <c:v>930</c:v>
                </c:pt>
                <c:pt idx="74">
                  <c:v>940</c:v>
                </c:pt>
                <c:pt idx="75">
                  <c:v>950</c:v>
                </c:pt>
                <c:pt idx="76">
                  <c:v>960</c:v>
                </c:pt>
                <c:pt idx="77">
                  <c:v>970</c:v>
                </c:pt>
                <c:pt idx="78">
                  <c:v>980</c:v>
                </c:pt>
                <c:pt idx="79">
                  <c:v>990</c:v>
                </c:pt>
                <c:pt idx="80">
                  <c:v>1000</c:v>
                </c:pt>
              </c:numCache>
            </c:numRef>
          </c:xVal>
          <c:yVal>
            <c:numRef>
              <c:f>W2Calc!$Y$5:$Y$85</c:f>
              <c:numCache>
                <c:formatCode>0.00</c:formatCode>
                <c:ptCount val="81"/>
                <c:pt idx="15">
                  <c:v>321.31</c:v>
                </c:pt>
                <c:pt idx="16">
                  <c:v>314.88</c:v>
                </c:pt>
                <c:pt idx="17">
                  <c:v>308.43</c:v>
                </c:pt>
                <c:pt idx="18">
                  <c:v>301.98</c:v>
                </c:pt>
                <c:pt idx="19">
                  <c:v>295.52</c:v>
                </c:pt>
                <c:pt idx="20">
                  <c:v>289.08</c:v>
                </c:pt>
                <c:pt idx="21">
                  <c:v>282.66000000000003</c:v>
                </c:pt>
                <c:pt idx="22">
                  <c:v>276.27</c:v>
                </c:pt>
                <c:pt idx="23">
                  <c:v>269.93</c:v>
                </c:pt>
                <c:pt idx="24">
                  <c:v>263.63</c:v>
                </c:pt>
                <c:pt idx="25">
                  <c:v>257.38</c:v>
                </c:pt>
                <c:pt idx="26">
                  <c:v>251.2</c:v>
                </c:pt>
                <c:pt idx="27">
                  <c:v>245.09</c:v>
                </c:pt>
                <c:pt idx="28">
                  <c:v>239.06</c:v>
                </c:pt>
                <c:pt idx="29">
                  <c:v>233.11</c:v>
                </c:pt>
                <c:pt idx="30">
                  <c:v>227.25</c:v>
                </c:pt>
                <c:pt idx="31">
                  <c:v>221.48</c:v>
                </c:pt>
                <c:pt idx="32">
                  <c:v>215.81</c:v>
                </c:pt>
                <c:pt idx="33">
                  <c:v>210.25</c:v>
                </c:pt>
                <c:pt idx="34">
                  <c:v>204.79</c:v>
                </c:pt>
                <c:pt idx="35">
                  <c:v>199.45</c:v>
                </c:pt>
                <c:pt idx="36">
                  <c:v>194.22</c:v>
                </c:pt>
                <c:pt idx="37">
                  <c:v>189.1</c:v>
                </c:pt>
                <c:pt idx="38">
                  <c:v>184.11</c:v>
                </c:pt>
                <c:pt idx="39">
                  <c:v>179.23</c:v>
                </c:pt>
                <c:pt idx="40">
                  <c:v>174.48</c:v>
                </c:pt>
                <c:pt idx="41">
                  <c:v>169.85</c:v>
                </c:pt>
                <c:pt idx="42">
                  <c:v>165.35</c:v>
                </c:pt>
                <c:pt idx="43">
                  <c:v>160.97</c:v>
                </c:pt>
                <c:pt idx="44">
                  <c:v>156.72</c:v>
                </c:pt>
                <c:pt idx="45">
                  <c:v>152.59</c:v>
                </c:pt>
                <c:pt idx="46">
                  <c:v>148.58000000000001</c:v>
                </c:pt>
                <c:pt idx="47">
                  <c:v>144.69999999999999</c:v>
                </c:pt>
                <c:pt idx="48">
                  <c:v>140.93</c:v>
                </c:pt>
                <c:pt idx="49">
                  <c:v>137.28</c:v>
                </c:pt>
                <c:pt idx="50">
                  <c:v>133.75</c:v>
                </c:pt>
                <c:pt idx="51">
                  <c:v>130.32</c:v>
                </c:pt>
                <c:pt idx="52">
                  <c:v>127.01</c:v>
                </c:pt>
                <c:pt idx="53">
                  <c:v>123.8</c:v>
                </c:pt>
                <c:pt idx="54">
                  <c:v>120.69</c:v>
                </c:pt>
                <c:pt idx="55">
                  <c:v>117.67</c:v>
                </c:pt>
                <c:pt idx="56">
                  <c:v>114.74</c:v>
                </c:pt>
                <c:pt idx="57">
                  <c:v>111.9</c:v>
                </c:pt>
                <c:pt idx="58">
                  <c:v>109.13</c:v>
                </c:pt>
                <c:pt idx="59">
                  <c:v>106.43</c:v>
                </c:pt>
                <c:pt idx="60">
                  <c:v>103.8</c:v>
                </c:pt>
                <c:pt idx="61">
                  <c:v>101.23</c:v>
                </c:pt>
                <c:pt idx="62">
                  <c:v>98.7</c:v>
                </c:pt>
                <c:pt idx="63">
                  <c:v>96.21</c:v>
                </c:pt>
                <c:pt idx="64">
                  <c:v>93.76</c:v>
                </c:pt>
                <c:pt idx="65">
                  <c:v>91.33</c:v>
                </c:pt>
                <c:pt idx="66">
                  <c:v>88.91</c:v>
                </c:pt>
                <c:pt idx="67">
                  <c:v>86.49</c:v>
                </c:pt>
                <c:pt idx="68">
                  <c:v>84.07</c:v>
                </c:pt>
                <c:pt idx="69">
                  <c:v>81.64</c:v>
                </c:pt>
                <c:pt idx="70">
                  <c:v>80</c:v>
                </c:pt>
                <c:pt idx="71">
                  <c:v>80</c:v>
                </c:pt>
                <c:pt idx="72">
                  <c:v>80</c:v>
                </c:pt>
                <c:pt idx="73">
                  <c:v>80</c:v>
                </c:pt>
                <c:pt idx="74">
                  <c:v>80</c:v>
                </c:pt>
                <c:pt idx="75">
                  <c:v>80</c:v>
                </c:pt>
                <c:pt idx="76">
                  <c:v>80</c:v>
                </c:pt>
                <c:pt idx="77">
                  <c:v>80</c:v>
                </c:pt>
                <c:pt idx="78">
                  <c:v>80</c:v>
                </c:pt>
                <c:pt idx="79">
                  <c:v>80</c:v>
                </c:pt>
                <c:pt idx="80">
                  <c:v>80</c:v>
                </c:pt>
              </c:numCache>
            </c:numRef>
          </c:yVal>
          <c:smooth val="1"/>
        </c:ser>
        <c:ser>
          <c:idx val="4"/>
          <c:order val="2"/>
          <c:tx>
            <c:v>2+ Major &amp; 1 Minor</c:v>
          </c:tx>
          <c:spPr>
            <a:ln w="12700">
              <a:solidFill>
                <a:srgbClr val="00B050"/>
              </a:solidFill>
              <a:prstDash val="sysDash"/>
            </a:ln>
          </c:spPr>
          <c:marker>
            <c:symbol val="none"/>
          </c:marker>
          <c:xVal>
            <c:numRef>
              <c:f>W2Calc!$X$5:$X$85</c:f>
              <c:numCache>
                <c:formatCode>0</c:formatCode>
                <c:ptCount val="81"/>
                <c:pt idx="0">
                  <c:v>200</c:v>
                </c:pt>
                <c:pt idx="1">
                  <c:v>210</c:v>
                </c:pt>
                <c:pt idx="2">
                  <c:v>220</c:v>
                </c:pt>
                <c:pt idx="3">
                  <c:v>230</c:v>
                </c:pt>
                <c:pt idx="4">
                  <c:v>240</c:v>
                </c:pt>
                <c:pt idx="5">
                  <c:v>250</c:v>
                </c:pt>
                <c:pt idx="6">
                  <c:v>260</c:v>
                </c:pt>
                <c:pt idx="7">
                  <c:v>270</c:v>
                </c:pt>
                <c:pt idx="8">
                  <c:v>280</c:v>
                </c:pt>
                <c:pt idx="9">
                  <c:v>290</c:v>
                </c:pt>
                <c:pt idx="10">
                  <c:v>300</c:v>
                </c:pt>
                <c:pt idx="11">
                  <c:v>310</c:v>
                </c:pt>
                <c:pt idx="12">
                  <c:v>320</c:v>
                </c:pt>
                <c:pt idx="13">
                  <c:v>330</c:v>
                </c:pt>
                <c:pt idx="14">
                  <c:v>340</c:v>
                </c:pt>
                <c:pt idx="15">
                  <c:v>350</c:v>
                </c:pt>
                <c:pt idx="16">
                  <c:v>360</c:v>
                </c:pt>
                <c:pt idx="17">
                  <c:v>370</c:v>
                </c:pt>
                <c:pt idx="18">
                  <c:v>380</c:v>
                </c:pt>
                <c:pt idx="19">
                  <c:v>390</c:v>
                </c:pt>
                <c:pt idx="20">
                  <c:v>400</c:v>
                </c:pt>
                <c:pt idx="21">
                  <c:v>410</c:v>
                </c:pt>
                <c:pt idx="22">
                  <c:v>420</c:v>
                </c:pt>
                <c:pt idx="23">
                  <c:v>430</c:v>
                </c:pt>
                <c:pt idx="24">
                  <c:v>440</c:v>
                </c:pt>
                <c:pt idx="25">
                  <c:v>450</c:v>
                </c:pt>
                <c:pt idx="26">
                  <c:v>460</c:v>
                </c:pt>
                <c:pt idx="27">
                  <c:v>470</c:v>
                </c:pt>
                <c:pt idx="28">
                  <c:v>480</c:v>
                </c:pt>
                <c:pt idx="29">
                  <c:v>490</c:v>
                </c:pt>
                <c:pt idx="30">
                  <c:v>500</c:v>
                </c:pt>
                <c:pt idx="31">
                  <c:v>510</c:v>
                </c:pt>
                <c:pt idx="32">
                  <c:v>520</c:v>
                </c:pt>
                <c:pt idx="33">
                  <c:v>530</c:v>
                </c:pt>
                <c:pt idx="34">
                  <c:v>540</c:v>
                </c:pt>
                <c:pt idx="35">
                  <c:v>550</c:v>
                </c:pt>
                <c:pt idx="36">
                  <c:v>560</c:v>
                </c:pt>
                <c:pt idx="37">
                  <c:v>570</c:v>
                </c:pt>
                <c:pt idx="38">
                  <c:v>580</c:v>
                </c:pt>
                <c:pt idx="39">
                  <c:v>590</c:v>
                </c:pt>
                <c:pt idx="40">
                  <c:v>600</c:v>
                </c:pt>
                <c:pt idx="41">
                  <c:v>610</c:v>
                </c:pt>
                <c:pt idx="42">
                  <c:v>620</c:v>
                </c:pt>
                <c:pt idx="43">
                  <c:v>630</c:v>
                </c:pt>
                <c:pt idx="44">
                  <c:v>640</c:v>
                </c:pt>
                <c:pt idx="45">
                  <c:v>650</c:v>
                </c:pt>
                <c:pt idx="46">
                  <c:v>660</c:v>
                </c:pt>
                <c:pt idx="47">
                  <c:v>670</c:v>
                </c:pt>
                <c:pt idx="48">
                  <c:v>680</c:v>
                </c:pt>
                <c:pt idx="49">
                  <c:v>690</c:v>
                </c:pt>
                <c:pt idx="50">
                  <c:v>700</c:v>
                </c:pt>
                <c:pt idx="51">
                  <c:v>710</c:v>
                </c:pt>
                <c:pt idx="52">
                  <c:v>720</c:v>
                </c:pt>
                <c:pt idx="53">
                  <c:v>730</c:v>
                </c:pt>
                <c:pt idx="54">
                  <c:v>740</c:v>
                </c:pt>
                <c:pt idx="55">
                  <c:v>750</c:v>
                </c:pt>
                <c:pt idx="56">
                  <c:v>760</c:v>
                </c:pt>
                <c:pt idx="57">
                  <c:v>770</c:v>
                </c:pt>
                <c:pt idx="58">
                  <c:v>780</c:v>
                </c:pt>
                <c:pt idx="59">
                  <c:v>790</c:v>
                </c:pt>
                <c:pt idx="60">
                  <c:v>800</c:v>
                </c:pt>
                <c:pt idx="61">
                  <c:v>810</c:v>
                </c:pt>
                <c:pt idx="62">
                  <c:v>820</c:v>
                </c:pt>
                <c:pt idx="63">
                  <c:v>830</c:v>
                </c:pt>
                <c:pt idx="64">
                  <c:v>840</c:v>
                </c:pt>
                <c:pt idx="65">
                  <c:v>850</c:v>
                </c:pt>
                <c:pt idx="66">
                  <c:v>860</c:v>
                </c:pt>
                <c:pt idx="67">
                  <c:v>870</c:v>
                </c:pt>
                <c:pt idx="68">
                  <c:v>880</c:v>
                </c:pt>
                <c:pt idx="69">
                  <c:v>890</c:v>
                </c:pt>
                <c:pt idx="70">
                  <c:v>900</c:v>
                </c:pt>
                <c:pt idx="71">
                  <c:v>910</c:v>
                </c:pt>
                <c:pt idx="72">
                  <c:v>920</c:v>
                </c:pt>
                <c:pt idx="73">
                  <c:v>930</c:v>
                </c:pt>
                <c:pt idx="74">
                  <c:v>940</c:v>
                </c:pt>
                <c:pt idx="75">
                  <c:v>950</c:v>
                </c:pt>
                <c:pt idx="76">
                  <c:v>960</c:v>
                </c:pt>
                <c:pt idx="77">
                  <c:v>970</c:v>
                </c:pt>
                <c:pt idx="78">
                  <c:v>980</c:v>
                </c:pt>
                <c:pt idx="79">
                  <c:v>990</c:v>
                </c:pt>
                <c:pt idx="80">
                  <c:v>1000</c:v>
                </c:pt>
              </c:numCache>
            </c:numRef>
          </c:xVal>
          <c:yVal>
            <c:numRef>
              <c:f>W2Calc!$AA$5:$AA$85</c:f>
              <c:numCache>
                <c:formatCode>0.00</c:formatCode>
                <c:ptCount val="81"/>
                <c:pt idx="8">
                  <c:v>273.52</c:v>
                </c:pt>
                <c:pt idx="9">
                  <c:v>268.17</c:v>
                </c:pt>
                <c:pt idx="10">
                  <c:v>262.86</c:v>
                </c:pt>
                <c:pt idx="11">
                  <c:v>257.58</c:v>
                </c:pt>
                <c:pt idx="12">
                  <c:v>252.34</c:v>
                </c:pt>
                <c:pt idx="13">
                  <c:v>247.14</c:v>
                </c:pt>
                <c:pt idx="14">
                  <c:v>241.98</c:v>
                </c:pt>
                <c:pt idx="15">
                  <c:v>236.87</c:v>
                </c:pt>
                <c:pt idx="16">
                  <c:v>231.82</c:v>
                </c:pt>
                <c:pt idx="17">
                  <c:v>226.81</c:v>
                </c:pt>
                <c:pt idx="18">
                  <c:v>221.86</c:v>
                </c:pt>
                <c:pt idx="19">
                  <c:v>216.97</c:v>
                </c:pt>
                <c:pt idx="20">
                  <c:v>212.13</c:v>
                </c:pt>
                <c:pt idx="21">
                  <c:v>207.36</c:v>
                </c:pt>
                <c:pt idx="22">
                  <c:v>202.65</c:v>
                </c:pt>
                <c:pt idx="23">
                  <c:v>198</c:v>
                </c:pt>
                <c:pt idx="24">
                  <c:v>193.42</c:v>
                </c:pt>
                <c:pt idx="25">
                  <c:v>188.91</c:v>
                </c:pt>
                <c:pt idx="26">
                  <c:v>184.47</c:v>
                </c:pt>
                <c:pt idx="27">
                  <c:v>180.1</c:v>
                </c:pt>
                <c:pt idx="28">
                  <c:v>175.8</c:v>
                </c:pt>
                <c:pt idx="29">
                  <c:v>171.58</c:v>
                </c:pt>
                <c:pt idx="30">
                  <c:v>167.43</c:v>
                </c:pt>
                <c:pt idx="31">
                  <c:v>163.36000000000001</c:v>
                </c:pt>
                <c:pt idx="32">
                  <c:v>159.37</c:v>
                </c:pt>
                <c:pt idx="33">
                  <c:v>155.44999999999999</c:v>
                </c:pt>
                <c:pt idx="34">
                  <c:v>151.62</c:v>
                </c:pt>
                <c:pt idx="35">
                  <c:v>147.86000000000001</c:v>
                </c:pt>
                <c:pt idx="36">
                  <c:v>144.19</c:v>
                </c:pt>
                <c:pt idx="37">
                  <c:v>140.59</c:v>
                </c:pt>
                <c:pt idx="38">
                  <c:v>137.08000000000001</c:v>
                </c:pt>
                <c:pt idx="39">
                  <c:v>133.65</c:v>
                </c:pt>
                <c:pt idx="40">
                  <c:v>130.31</c:v>
                </c:pt>
                <c:pt idx="41">
                  <c:v>127.04</c:v>
                </c:pt>
                <c:pt idx="42">
                  <c:v>123.86</c:v>
                </c:pt>
                <c:pt idx="43">
                  <c:v>120.76</c:v>
                </c:pt>
                <c:pt idx="44">
                  <c:v>117.74</c:v>
                </c:pt>
                <c:pt idx="45">
                  <c:v>114.8</c:v>
                </c:pt>
                <c:pt idx="46">
                  <c:v>111.95</c:v>
                </c:pt>
                <c:pt idx="47">
                  <c:v>109.18</c:v>
                </c:pt>
                <c:pt idx="48">
                  <c:v>106.49</c:v>
                </c:pt>
                <c:pt idx="49">
                  <c:v>103.88</c:v>
                </c:pt>
                <c:pt idx="50">
                  <c:v>101.35</c:v>
                </c:pt>
                <c:pt idx="51">
                  <c:v>98.89</c:v>
                </c:pt>
                <c:pt idx="52">
                  <c:v>96.52</c:v>
                </c:pt>
                <c:pt idx="53">
                  <c:v>94.22</c:v>
                </c:pt>
                <c:pt idx="54">
                  <c:v>92</c:v>
                </c:pt>
                <c:pt idx="55">
                  <c:v>89.85</c:v>
                </c:pt>
                <c:pt idx="56">
                  <c:v>87.78</c:v>
                </c:pt>
                <c:pt idx="57">
                  <c:v>85.78</c:v>
                </c:pt>
                <c:pt idx="58">
                  <c:v>83.85</c:v>
                </c:pt>
                <c:pt idx="59">
                  <c:v>81.98</c:v>
                </c:pt>
                <c:pt idx="60">
                  <c:v>80.19</c:v>
                </c:pt>
                <c:pt idx="61">
                  <c:v>78.459999999999994</c:v>
                </c:pt>
                <c:pt idx="62">
                  <c:v>76.8</c:v>
                </c:pt>
                <c:pt idx="63">
                  <c:v>75.2</c:v>
                </c:pt>
                <c:pt idx="64">
                  <c:v>73.650000000000006</c:v>
                </c:pt>
                <c:pt idx="65">
                  <c:v>72.17</c:v>
                </c:pt>
                <c:pt idx="66">
                  <c:v>70.739999999999995</c:v>
                </c:pt>
                <c:pt idx="67">
                  <c:v>69.36</c:v>
                </c:pt>
                <c:pt idx="68">
                  <c:v>68.040000000000006</c:v>
                </c:pt>
                <c:pt idx="69">
                  <c:v>66.760000000000005</c:v>
                </c:pt>
                <c:pt idx="70">
                  <c:v>65.53</c:v>
                </c:pt>
                <c:pt idx="71">
                  <c:v>64.34</c:v>
                </c:pt>
                <c:pt idx="72">
                  <c:v>63.2</c:v>
                </c:pt>
                <c:pt idx="73">
                  <c:v>62.09</c:v>
                </c:pt>
                <c:pt idx="74">
                  <c:v>61.01</c:v>
                </c:pt>
                <c:pt idx="75">
                  <c:v>60</c:v>
                </c:pt>
                <c:pt idx="76">
                  <c:v>60</c:v>
                </c:pt>
                <c:pt idx="77">
                  <c:v>60</c:v>
                </c:pt>
                <c:pt idx="78">
                  <c:v>60</c:v>
                </c:pt>
                <c:pt idx="79">
                  <c:v>60</c:v>
                </c:pt>
                <c:pt idx="80">
                  <c:v>60</c:v>
                </c:pt>
              </c:numCache>
            </c:numRef>
          </c:yVal>
          <c:smooth val="1"/>
        </c:ser>
        <c:ser>
          <c:idx val="5"/>
          <c:order val="3"/>
          <c:tx>
            <c:v>1 Major &amp; 2+ Minor</c:v>
          </c:tx>
          <c:spPr>
            <a:ln w="12700">
              <a:solidFill>
                <a:srgbClr val="C00000"/>
              </a:solidFill>
              <a:prstDash val="sysDash"/>
            </a:ln>
          </c:spPr>
          <c:marker>
            <c:symbol val="none"/>
          </c:marker>
          <c:xVal>
            <c:numRef>
              <c:f>W2Calc!$X$5:$X$85</c:f>
              <c:numCache>
                <c:formatCode>0</c:formatCode>
                <c:ptCount val="81"/>
                <c:pt idx="0">
                  <c:v>200</c:v>
                </c:pt>
                <c:pt idx="1">
                  <c:v>210</c:v>
                </c:pt>
                <c:pt idx="2">
                  <c:v>220</c:v>
                </c:pt>
                <c:pt idx="3">
                  <c:v>230</c:v>
                </c:pt>
                <c:pt idx="4">
                  <c:v>240</c:v>
                </c:pt>
                <c:pt idx="5">
                  <c:v>250</c:v>
                </c:pt>
                <c:pt idx="6">
                  <c:v>260</c:v>
                </c:pt>
                <c:pt idx="7">
                  <c:v>270</c:v>
                </c:pt>
                <c:pt idx="8">
                  <c:v>280</c:v>
                </c:pt>
                <c:pt idx="9">
                  <c:v>290</c:v>
                </c:pt>
                <c:pt idx="10">
                  <c:v>300</c:v>
                </c:pt>
                <c:pt idx="11">
                  <c:v>310</c:v>
                </c:pt>
                <c:pt idx="12">
                  <c:v>320</c:v>
                </c:pt>
                <c:pt idx="13">
                  <c:v>330</c:v>
                </c:pt>
                <c:pt idx="14">
                  <c:v>340</c:v>
                </c:pt>
                <c:pt idx="15">
                  <c:v>350</c:v>
                </c:pt>
                <c:pt idx="16">
                  <c:v>360</c:v>
                </c:pt>
                <c:pt idx="17">
                  <c:v>370</c:v>
                </c:pt>
                <c:pt idx="18">
                  <c:v>380</c:v>
                </c:pt>
                <c:pt idx="19">
                  <c:v>390</c:v>
                </c:pt>
                <c:pt idx="20">
                  <c:v>400</c:v>
                </c:pt>
                <c:pt idx="21">
                  <c:v>410</c:v>
                </c:pt>
                <c:pt idx="22">
                  <c:v>420</c:v>
                </c:pt>
                <c:pt idx="23">
                  <c:v>430</c:v>
                </c:pt>
                <c:pt idx="24">
                  <c:v>440</c:v>
                </c:pt>
                <c:pt idx="25">
                  <c:v>450</c:v>
                </c:pt>
                <c:pt idx="26">
                  <c:v>460</c:v>
                </c:pt>
                <c:pt idx="27">
                  <c:v>470</c:v>
                </c:pt>
                <c:pt idx="28">
                  <c:v>480</c:v>
                </c:pt>
                <c:pt idx="29">
                  <c:v>490</c:v>
                </c:pt>
                <c:pt idx="30">
                  <c:v>500</c:v>
                </c:pt>
                <c:pt idx="31">
                  <c:v>510</c:v>
                </c:pt>
                <c:pt idx="32">
                  <c:v>520</c:v>
                </c:pt>
                <c:pt idx="33">
                  <c:v>530</c:v>
                </c:pt>
                <c:pt idx="34">
                  <c:v>540</c:v>
                </c:pt>
                <c:pt idx="35">
                  <c:v>550</c:v>
                </c:pt>
                <c:pt idx="36">
                  <c:v>560</c:v>
                </c:pt>
                <c:pt idx="37">
                  <c:v>570</c:v>
                </c:pt>
                <c:pt idx="38">
                  <c:v>580</c:v>
                </c:pt>
                <c:pt idx="39">
                  <c:v>590</c:v>
                </c:pt>
                <c:pt idx="40">
                  <c:v>600</c:v>
                </c:pt>
                <c:pt idx="41">
                  <c:v>610</c:v>
                </c:pt>
                <c:pt idx="42">
                  <c:v>620</c:v>
                </c:pt>
                <c:pt idx="43">
                  <c:v>630</c:v>
                </c:pt>
                <c:pt idx="44">
                  <c:v>640</c:v>
                </c:pt>
                <c:pt idx="45">
                  <c:v>650</c:v>
                </c:pt>
                <c:pt idx="46">
                  <c:v>660</c:v>
                </c:pt>
                <c:pt idx="47">
                  <c:v>670</c:v>
                </c:pt>
                <c:pt idx="48">
                  <c:v>680</c:v>
                </c:pt>
                <c:pt idx="49">
                  <c:v>690</c:v>
                </c:pt>
                <c:pt idx="50">
                  <c:v>700</c:v>
                </c:pt>
                <c:pt idx="51">
                  <c:v>710</c:v>
                </c:pt>
                <c:pt idx="52">
                  <c:v>720</c:v>
                </c:pt>
                <c:pt idx="53">
                  <c:v>730</c:v>
                </c:pt>
                <c:pt idx="54">
                  <c:v>740</c:v>
                </c:pt>
                <c:pt idx="55">
                  <c:v>750</c:v>
                </c:pt>
                <c:pt idx="56">
                  <c:v>760</c:v>
                </c:pt>
                <c:pt idx="57">
                  <c:v>770</c:v>
                </c:pt>
                <c:pt idx="58">
                  <c:v>780</c:v>
                </c:pt>
                <c:pt idx="59">
                  <c:v>790</c:v>
                </c:pt>
                <c:pt idx="60">
                  <c:v>800</c:v>
                </c:pt>
                <c:pt idx="61">
                  <c:v>810</c:v>
                </c:pt>
                <c:pt idx="62">
                  <c:v>820</c:v>
                </c:pt>
                <c:pt idx="63">
                  <c:v>830</c:v>
                </c:pt>
                <c:pt idx="64">
                  <c:v>840</c:v>
                </c:pt>
                <c:pt idx="65">
                  <c:v>850</c:v>
                </c:pt>
                <c:pt idx="66">
                  <c:v>860</c:v>
                </c:pt>
                <c:pt idx="67">
                  <c:v>870</c:v>
                </c:pt>
                <c:pt idx="68">
                  <c:v>880</c:v>
                </c:pt>
                <c:pt idx="69">
                  <c:v>890</c:v>
                </c:pt>
                <c:pt idx="70">
                  <c:v>900</c:v>
                </c:pt>
                <c:pt idx="71">
                  <c:v>910</c:v>
                </c:pt>
                <c:pt idx="72">
                  <c:v>920</c:v>
                </c:pt>
                <c:pt idx="73">
                  <c:v>930</c:v>
                </c:pt>
                <c:pt idx="74">
                  <c:v>940</c:v>
                </c:pt>
                <c:pt idx="75">
                  <c:v>950</c:v>
                </c:pt>
                <c:pt idx="76">
                  <c:v>960</c:v>
                </c:pt>
                <c:pt idx="77">
                  <c:v>970</c:v>
                </c:pt>
                <c:pt idx="78">
                  <c:v>980</c:v>
                </c:pt>
                <c:pt idx="79">
                  <c:v>990</c:v>
                </c:pt>
                <c:pt idx="80">
                  <c:v>1000</c:v>
                </c:pt>
              </c:numCache>
            </c:numRef>
          </c:xVal>
          <c:yVal>
            <c:numRef>
              <c:f>W2Calc!$Z$5:$Z$85</c:f>
              <c:numCache>
                <c:formatCode>0.00</c:formatCode>
                <c:ptCount val="81"/>
                <c:pt idx="8">
                  <c:v>273.52</c:v>
                </c:pt>
                <c:pt idx="9">
                  <c:v>268.17</c:v>
                </c:pt>
                <c:pt idx="10">
                  <c:v>262.86</c:v>
                </c:pt>
                <c:pt idx="11">
                  <c:v>257.58</c:v>
                </c:pt>
                <c:pt idx="12">
                  <c:v>252.34</c:v>
                </c:pt>
                <c:pt idx="13">
                  <c:v>247.14</c:v>
                </c:pt>
                <c:pt idx="14">
                  <c:v>241.98</c:v>
                </c:pt>
                <c:pt idx="15">
                  <c:v>236.87</c:v>
                </c:pt>
                <c:pt idx="16">
                  <c:v>231.82</c:v>
                </c:pt>
                <c:pt idx="17">
                  <c:v>226.81</c:v>
                </c:pt>
                <c:pt idx="18">
                  <c:v>221.86</c:v>
                </c:pt>
                <c:pt idx="19">
                  <c:v>216.97</c:v>
                </c:pt>
                <c:pt idx="20">
                  <c:v>212.13</c:v>
                </c:pt>
                <c:pt idx="21">
                  <c:v>207.36</c:v>
                </c:pt>
                <c:pt idx="22">
                  <c:v>202.65</c:v>
                </c:pt>
                <c:pt idx="23">
                  <c:v>198</c:v>
                </c:pt>
                <c:pt idx="24">
                  <c:v>193.42</c:v>
                </c:pt>
                <c:pt idx="25">
                  <c:v>188.91</c:v>
                </c:pt>
                <c:pt idx="26">
                  <c:v>184.47</c:v>
                </c:pt>
                <c:pt idx="27">
                  <c:v>180.1</c:v>
                </c:pt>
                <c:pt idx="28">
                  <c:v>175.8</c:v>
                </c:pt>
                <c:pt idx="29">
                  <c:v>171.58</c:v>
                </c:pt>
                <c:pt idx="30">
                  <c:v>167.43</c:v>
                </c:pt>
                <c:pt idx="31">
                  <c:v>163.36000000000001</c:v>
                </c:pt>
                <c:pt idx="32">
                  <c:v>159.37</c:v>
                </c:pt>
                <c:pt idx="33">
                  <c:v>155.44999999999999</c:v>
                </c:pt>
                <c:pt idx="34">
                  <c:v>151.62</c:v>
                </c:pt>
                <c:pt idx="35">
                  <c:v>147.86000000000001</c:v>
                </c:pt>
                <c:pt idx="36">
                  <c:v>144.19</c:v>
                </c:pt>
                <c:pt idx="37">
                  <c:v>140.59</c:v>
                </c:pt>
                <c:pt idx="38">
                  <c:v>137.08000000000001</c:v>
                </c:pt>
                <c:pt idx="39">
                  <c:v>133.65</c:v>
                </c:pt>
                <c:pt idx="40">
                  <c:v>130.31</c:v>
                </c:pt>
                <c:pt idx="41">
                  <c:v>127.04</c:v>
                </c:pt>
                <c:pt idx="42">
                  <c:v>123.86</c:v>
                </c:pt>
                <c:pt idx="43">
                  <c:v>120.76</c:v>
                </c:pt>
                <c:pt idx="44">
                  <c:v>117.74</c:v>
                </c:pt>
                <c:pt idx="45">
                  <c:v>114.8</c:v>
                </c:pt>
                <c:pt idx="46">
                  <c:v>111.95</c:v>
                </c:pt>
                <c:pt idx="47">
                  <c:v>109.18</c:v>
                </c:pt>
                <c:pt idx="48">
                  <c:v>106.49</c:v>
                </c:pt>
                <c:pt idx="49">
                  <c:v>103.88</c:v>
                </c:pt>
                <c:pt idx="50">
                  <c:v>101.35</c:v>
                </c:pt>
                <c:pt idx="51">
                  <c:v>98.89</c:v>
                </c:pt>
                <c:pt idx="52">
                  <c:v>96.52</c:v>
                </c:pt>
                <c:pt idx="53">
                  <c:v>94.22</c:v>
                </c:pt>
                <c:pt idx="54">
                  <c:v>92</c:v>
                </c:pt>
                <c:pt idx="55">
                  <c:v>89.85</c:v>
                </c:pt>
                <c:pt idx="56">
                  <c:v>87.78</c:v>
                </c:pt>
                <c:pt idx="57">
                  <c:v>85.78</c:v>
                </c:pt>
                <c:pt idx="58">
                  <c:v>83.85</c:v>
                </c:pt>
                <c:pt idx="59">
                  <c:v>81.98</c:v>
                </c:pt>
                <c:pt idx="60">
                  <c:v>80.19</c:v>
                </c:pt>
                <c:pt idx="61">
                  <c:v>80</c:v>
                </c:pt>
                <c:pt idx="62">
                  <c:v>80</c:v>
                </c:pt>
                <c:pt idx="63">
                  <c:v>80</c:v>
                </c:pt>
                <c:pt idx="64">
                  <c:v>80</c:v>
                </c:pt>
                <c:pt idx="65">
                  <c:v>80</c:v>
                </c:pt>
                <c:pt idx="66">
                  <c:v>80</c:v>
                </c:pt>
                <c:pt idx="67">
                  <c:v>80</c:v>
                </c:pt>
                <c:pt idx="68">
                  <c:v>80</c:v>
                </c:pt>
                <c:pt idx="69">
                  <c:v>80</c:v>
                </c:pt>
                <c:pt idx="70">
                  <c:v>80</c:v>
                </c:pt>
                <c:pt idx="71">
                  <c:v>80</c:v>
                </c:pt>
                <c:pt idx="72">
                  <c:v>80</c:v>
                </c:pt>
                <c:pt idx="73">
                  <c:v>80</c:v>
                </c:pt>
                <c:pt idx="74">
                  <c:v>80</c:v>
                </c:pt>
                <c:pt idx="75">
                  <c:v>80</c:v>
                </c:pt>
                <c:pt idx="76">
                  <c:v>80</c:v>
                </c:pt>
                <c:pt idx="77">
                  <c:v>80</c:v>
                </c:pt>
                <c:pt idx="78">
                  <c:v>80</c:v>
                </c:pt>
                <c:pt idx="79">
                  <c:v>80</c:v>
                </c:pt>
                <c:pt idx="80">
                  <c:v>80</c:v>
                </c:pt>
              </c:numCache>
            </c:numRef>
          </c:yVal>
          <c:smooth val="1"/>
        </c:ser>
        <c:ser>
          <c:idx val="6"/>
          <c:order val="4"/>
          <c:tx>
            <c:v>1 Major &amp; 1 Minor</c:v>
          </c:tx>
          <c:spPr>
            <a:ln w="12700">
              <a:solidFill>
                <a:srgbClr val="FF66FF"/>
              </a:solidFill>
            </a:ln>
          </c:spPr>
          <c:marker>
            <c:symbol val="none"/>
          </c:marker>
          <c:xVal>
            <c:numRef>
              <c:f>W2Calc!$X$5:$X$85</c:f>
              <c:numCache>
                <c:formatCode>0</c:formatCode>
                <c:ptCount val="81"/>
                <c:pt idx="0">
                  <c:v>200</c:v>
                </c:pt>
                <c:pt idx="1">
                  <c:v>210</c:v>
                </c:pt>
                <c:pt idx="2">
                  <c:v>220</c:v>
                </c:pt>
                <c:pt idx="3">
                  <c:v>230</c:v>
                </c:pt>
                <c:pt idx="4">
                  <c:v>240</c:v>
                </c:pt>
                <c:pt idx="5">
                  <c:v>250</c:v>
                </c:pt>
                <c:pt idx="6">
                  <c:v>260</c:v>
                </c:pt>
                <c:pt idx="7">
                  <c:v>270</c:v>
                </c:pt>
                <c:pt idx="8">
                  <c:v>280</c:v>
                </c:pt>
                <c:pt idx="9">
                  <c:v>290</c:v>
                </c:pt>
                <c:pt idx="10">
                  <c:v>300</c:v>
                </c:pt>
                <c:pt idx="11">
                  <c:v>310</c:v>
                </c:pt>
                <c:pt idx="12">
                  <c:v>320</c:v>
                </c:pt>
                <c:pt idx="13">
                  <c:v>330</c:v>
                </c:pt>
                <c:pt idx="14">
                  <c:v>340</c:v>
                </c:pt>
                <c:pt idx="15">
                  <c:v>350</c:v>
                </c:pt>
                <c:pt idx="16">
                  <c:v>360</c:v>
                </c:pt>
                <c:pt idx="17">
                  <c:v>370</c:v>
                </c:pt>
                <c:pt idx="18">
                  <c:v>380</c:v>
                </c:pt>
                <c:pt idx="19">
                  <c:v>390</c:v>
                </c:pt>
                <c:pt idx="20">
                  <c:v>400</c:v>
                </c:pt>
                <c:pt idx="21">
                  <c:v>410</c:v>
                </c:pt>
                <c:pt idx="22">
                  <c:v>420</c:v>
                </c:pt>
                <c:pt idx="23">
                  <c:v>430</c:v>
                </c:pt>
                <c:pt idx="24">
                  <c:v>440</c:v>
                </c:pt>
                <c:pt idx="25">
                  <c:v>450</c:v>
                </c:pt>
                <c:pt idx="26">
                  <c:v>460</c:v>
                </c:pt>
                <c:pt idx="27">
                  <c:v>470</c:v>
                </c:pt>
                <c:pt idx="28">
                  <c:v>480</c:v>
                </c:pt>
                <c:pt idx="29">
                  <c:v>490</c:v>
                </c:pt>
                <c:pt idx="30">
                  <c:v>500</c:v>
                </c:pt>
                <c:pt idx="31">
                  <c:v>510</c:v>
                </c:pt>
                <c:pt idx="32">
                  <c:v>520</c:v>
                </c:pt>
                <c:pt idx="33">
                  <c:v>530</c:v>
                </c:pt>
                <c:pt idx="34">
                  <c:v>540</c:v>
                </c:pt>
                <c:pt idx="35">
                  <c:v>550</c:v>
                </c:pt>
                <c:pt idx="36">
                  <c:v>560</c:v>
                </c:pt>
                <c:pt idx="37">
                  <c:v>570</c:v>
                </c:pt>
                <c:pt idx="38">
                  <c:v>580</c:v>
                </c:pt>
                <c:pt idx="39">
                  <c:v>590</c:v>
                </c:pt>
                <c:pt idx="40">
                  <c:v>600</c:v>
                </c:pt>
                <c:pt idx="41">
                  <c:v>610</c:v>
                </c:pt>
                <c:pt idx="42">
                  <c:v>620</c:v>
                </c:pt>
                <c:pt idx="43">
                  <c:v>630</c:v>
                </c:pt>
                <c:pt idx="44">
                  <c:v>640</c:v>
                </c:pt>
                <c:pt idx="45">
                  <c:v>650</c:v>
                </c:pt>
                <c:pt idx="46">
                  <c:v>660</c:v>
                </c:pt>
                <c:pt idx="47">
                  <c:v>670</c:v>
                </c:pt>
                <c:pt idx="48">
                  <c:v>680</c:v>
                </c:pt>
                <c:pt idx="49">
                  <c:v>690</c:v>
                </c:pt>
                <c:pt idx="50">
                  <c:v>700</c:v>
                </c:pt>
                <c:pt idx="51">
                  <c:v>710</c:v>
                </c:pt>
                <c:pt idx="52">
                  <c:v>720</c:v>
                </c:pt>
                <c:pt idx="53">
                  <c:v>730</c:v>
                </c:pt>
                <c:pt idx="54">
                  <c:v>740</c:v>
                </c:pt>
                <c:pt idx="55">
                  <c:v>750</c:v>
                </c:pt>
                <c:pt idx="56">
                  <c:v>760</c:v>
                </c:pt>
                <c:pt idx="57">
                  <c:v>770</c:v>
                </c:pt>
                <c:pt idx="58">
                  <c:v>780</c:v>
                </c:pt>
                <c:pt idx="59">
                  <c:v>790</c:v>
                </c:pt>
                <c:pt idx="60">
                  <c:v>800</c:v>
                </c:pt>
                <c:pt idx="61">
                  <c:v>810</c:v>
                </c:pt>
                <c:pt idx="62">
                  <c:v>820</c:v>
                </c:pt>
                <c:pt idx="63">
                  <c:v>830</c:v>
                </c:pt>
                <c:pt idx="64">
                  <c:v>840</c:v>
                </c:pt>
                <c:pt idx="65">
                  <c:v>850</c:v>
                </c:pt>
                <c:pt idx="66">
                  <c:v>860</c:v>
                </c:pt>
                <c:pt idx="67">
                  <c:v>870</c:v>
                </c:pt>
                <c:pt idx="68">
                  <c:v>880</c:v>
                </c:pt>
                <c:pt idx="69">
                  <c:v>890</c:v>
                </c:pt>
                <c:pt idx="70">
                  <c:v>900</c:v>
                </c:pt>
                <c:pt idx="71">
                  <c:v>910</c:v>
                </c:pt>
                <c:pt idx="72">
                  <c:v>920</c:v>
                </c:pt>
                <c:pt idx="73">
                  <c:v>930</c:v>
                </c:pt>
                <c:pt idx="74">
                  <c:v>940</c:v>
                </c:pt>
                <c:pt idx="75">
                  <c:v>950</c:v>
                </c:pt>
                <c:pt idx="76">
                  <c:v>960</c:v>
                </c:pt>
                <c:pt idx="77">
                  <c:v>970</c:v>
                </c:pt>
                <c:pt idx="78">
                  <c:v>980</c:v>
                </c:pt>
                <c:pt idx="79">
                  <c:v>990</c:v>
                </c:pt>
                <c:pt idx="80">
                  <c:v>1000</c:v>
                </c:pt>
              </c:numCache>
            </c:numRef>
          </c:xVal>
          <c:yVal>
            <c:numRef>
              <c:f>W2Calc!$AB$5:$AB$85</c:f>
              <c:numCache>
                <c:formatCode>0.00</c:formatCode>
                <c:ptCount val="81"/>
                <c:pt idx="6">
                  <c:v>222.91</c:v>
                </c:pt>
                <c:pt idx="7">
                  <c:v>219.02</c:v>
                </c:pt>
                <c:pt idx="8">
                  <c:v>215.03</c:v>
                </c:pt>
                <c:pt idx="9">
                  <c:v>210.98</c:v>
                </c:pt>
                <c:pt idx="10">
                  <c:v>206.86</c:v>
                </c:pt>
                <c:pt idx="11">
                  <c:v>202.69</c:v>
                </c:pt>
                <c:pt idx="12">
                  <c:v>198.48</c:v>
                </c:pt>
                <c:pt idx="13">
                  <c:v>194.24</c:v>
                </c:pt>
                <c:pt idx="14">
                  <c:v>189.97</c:v>
                </c:pt>
                <c:pt idx="15">
                  <c:v>185.7</c:v>
                </c:pt>
                <c:pt idx="16">
                  <c:v>181.42</c:v>
                </c:pt>
                <c:pt idx="17">
                  <c:v>177.15</c:v>
                </c:pt>
                <c:pt idx="18">
                  <c:v>172.9</c:v>
                </c:pt>
                <c:pt idx="19">
                  <c:v>168.66</c:v>
                </c:pt>
                <c:pt idx="20">
                  <c:v>164.46</c:v>
                </c:pt>
                <c:pt idx="21">
                  <c:v>160.29</c:v>
                </c:pt>
                <c:pt idx="22">
                  <c:v>156.16</c:v>
                </c:pt>
                <c:pt idx="23">
                  <c:v>152.08000000000001</c:v>
                </c:pt>
                <c:pt idx="24">
                  <c:v>148.06</c:v>
                </c:pt>
                <c:pt idx="25">
                  <c:v>144.09</c:v>
                </c:pt>
                <c:pt idx="26">
                  <c:v>140.19</c:v>
                </c:pt>
                <c:pt idx="27">
                  <c:v>136.36000000000001</c:v>
                </c:pt>
                <c:pt idx="28">
                  <c:v>132.59</c:v>
                </c:pt>
                <c:pt idx="29">
                  <c:v>128.91</c:v>
                </c:pt>
                <c:pt idx="30">
                  <c:v>125.3</c:v>
                </c:pt>
                <c:pt idx="31">
                  <c:v>121.77</c:v>
                </c:pt>
                <c:pt idx="32">
                  <c:v>118.32</c:v>
                </c:pt>
                <c:pt idx="33">
                  <c:v>114.96</c:v>
                </c:pt>
                <c:pt idx="34">
                  <c:v>111.69</c:v>
                </c:pt>
                <c:pt idx="35">
                  <c:v>108.5</c:v>
                </c:pt>
                <c:pt idx="36">
                  <c:v>105.4</c:v>
                </c:pt>
                <c:pt idx="37">
                  <c:v>102.38</c:v>
                </c:pt>
                <c:pt idx="38">
                  <c:v>99.45</c:v>
                </c:pt>
                <c:pt idx="39">
                  <c:v>96.6</c:v>
                </c:pt>
                <c:pt idx="40">
                  <c:v>93.84</c:v>
                </c:pt>
                <c:pt idx="41">
                  <c:v>91.16</c:v>
                </c:pt>
                <c:pt idx="42">
                  <c:v>88.56</c:v>
                </c:pt>
                <c:pt idx="43">
                  <c:v>86.04</c:v>
                </c:pt>
                <c:pt idx="44">
                  <c:v>83.59</c:v>
                </c:pt>
                <c:pt idx="45">
                  <c:v>81.209999999999994</c:v>
                </c:pt>
                <c:pt idx="46">
                  <c:v>78.89</c:v>
                </c:pt>
                <c:pt idx="47">
                  <c:v>76.64</c:v>
                </c:pt>
                <c:pt idx="48">
                  <c:v>74.45</c:v>
                </c:pt>
                <c:pt idx="49">
                  <c:v>72.3</c:v>
                </c:pt>
                <c:pt idx="50">
                  <c:v>70.209999999999994</c:v>
                </c:pt>
                <c:pt idx="51">
                  <c:v>68.150000000000006</c:v>
                </c:pt>
                <c:pt idx="52">
                  <c:v>66.12</c:v>
                </c:pt>
                <c:pt idx="53">
                  <c:v>64.13</c:v>
                </c:pt>
                <c:pt idx="54">
                  <c:v>62.15</c:v>
                </c:pt>
                <c:pt idx="55">
                  <c:v>60.18</c:v>
                </c:pt>
                <c:pt idx="56">
                  <c:v>60</c:v>
                </c:pt>
                <c:pt idx="57">
                  <c:v>60</c:v>
                </c:pt>
                <c:pt idx="58">
                  <c:v>60</c:v>
                </c:pt>
                <c:pt idx="59">
                  <c:v>60</c:v>
                </c:pt>
                <c:pt idx="60">
                  <c:v>60</c:v>
                </c:pt>
                <c:pt idx="61">
                  <c:v>60</c:v>
                </c:pt>
                <c:pt idx="62">
                  <c:v>60</c:v>
                </c:pt>
                <c:pt idx="63">
                  <c:v>60</c:v>
                </c:pt>
                <c:pt idx="64">
                  <c:v>60</c:v>
                </c:pt>
                <c:pt idx="65">
                  <c:v>60</c:v>
                </c:pt>
                <c:pt idx="66">
                  <c:v>60</c:v>
                </c:pt>
                <c:pt idx="67">
                  <c:v>60</c:v>
                </c:pt>
                <c:pt idx="68">
                  <c:v>60</c:v>
                </c:pt>
                <c:pt idx="69">
                  <c:v>60</c:v>
                </c:pt>
                <c:pt idx="70">
                  <c:v>60</c:v>
                </c:pt>
                <c:pt idx="71">
                  <c:v>60</c:v>
                </c:pt>
                <c:pt idx="72">
                  <c:v>60</c:v>
                </c:pt>
                <c:pt idx="73">
                  <c:v>60</c:v>
                </c:pt>
                <c:pt idx="74">
                  <c:v>60</c:v>
                </c:pt>
                <c:pt idx="75">
                  <c:v>60</c:v>
                </c:pt>
                <c:pt idx="76">
                  <c:v>60</c:v>
                </c:pt>
                <c:pt idx="77">
                  <c:v>60</c:v>
                </c:pt>
                <c:pt idx="78">
                  <c:v>60</c:v>
                </c:pt>
                <c:pt idx="79">
                  <c:v>60</c:v>
                </c:pt>
                <c:pt idx="80">
                  <c:v>60</c:v>
                </c:pt>
              </c:numCache>
            </c:numRef>
          </c:yVal>
          <c:smooth val="1"/>
        </c:ser>
        <c:axId val="93359104"/>
        <c:axId val="93369472"/>
      </c:scatterChart>
      <c:valAx>
        <c:axId val="93359104"/>
        <c:scaling>
          <c:orientation val="minMax"/>
          <c:max val="1000"/>
          <c:min val="200"/>
        </c:scaling>
        <c:axPos val="b"/>
        <c:majorGridlines>
          <c:spPr>
            <a:ln w="12700">
              <a:solidFill>
                <a:prstClr val="black"/>
              </a:solidFill>
            </a:ln>
          </c:spPr>
        </c:majorGridlines>
        <c:title>
          <c:tx>
            <c:rich>
              <a:bodyPr/>
              <a:lstStyle/>
              <a:p>
                <a:pPr>
                  <a:defRPr/>
                </a:pPr>
                <a:r>
                  <a:rPr lang="en-US"/>
                  <a:t>MAJOR ROUTE - TOTAL OF BOTH APPROACHES [VPH]</a:t>
                </a:r>
              </a:p>
            </c:rich>
          </c:tx>
          <c:layout/>
        </c:title>
        <c:numFmt formatCode="#,##0" sourceLinked="0"/>
        <c:tickLblPos val="nextTo"/>
        <c:spPr>
          <a:noFill/>
          <a:ln w="12700">
            <a:solidFill>
              <a:prstClr val="black"/>
            </a:solidFill>
          </a:ln>
        </c:spPr>
        <c:txPr>
          <a:bodyPr rot="-2700000"/>
          <a:lstStyle/>
          <a:p>
            <a:pPr>
              <a:defRPr/>
            </a:pPr>
            <a:endParaRPr lang="en-US"/>
          </a:p>
        </c:txPr>
        <c:crossAx val="93369472"/>
        <c:crosses val="autoZero"/>
        <c:crossBetween val="midCat"/>
        <c:majorUnit val="100"/>
        <c:minorUnit val="20"/>
      </c:valAx>
      <c:valAx>
        <c:axId val="93369472"/>
        <c:scaling>
          <c:orientation val="minMax"/>
          <c:max val="400"/>
          <c:min val="0"/>
        </c:scaling>
        <c:axPos val="l"/>
        <c:majorGridlines>
          <c:spPr>
            <a:ln>
              <a:solidFill>
                <a:prstClr val="black"/>
              </a:solidFill>
              <a:prstDash val="sysDash"/>
            </a:ln>
          </c:spPr>
        </c:majorGridlines>
        <c:title>
          <c:tx>
            <c:rich>
              <a:bodyPr rot="-5400000" vert="horz"/>
              <a:lstStyle/>
              <a:p>
                <a:pPr>
                  <a:defRPr/>
                </a:pPr>
                <a:r>
                  <a:rPr lang="en-US"/>
                  <a:t>MINOR  ROUTE</a:t>
                </a:r>
              </a:p>
              <a:p>
                <a:pPr>
                  <a:defRPr/>
                </a:pPr>
                <a:r>
                  <a:rPr lang="en-US"/>
                  <a:t>HIGH  VOLUMEN  APPROACH [VPH]</a:t>
                </a:r>
              </a:p>
            </c:rich>
          </c:tx>
          <c:layout/>
        </c:title>
        <c:numFmt formatCode="#,##0" sourceLinked="0"/>
        <c:tickLblPos val="nextTo"/>
        <c:spPr>
          <a:noFill/>
          <a:ln w="12700">
            <a:solidFill>
              <a:prstClr val="black"/>
            </a:solidFill>
            <a:prstDash val="solid"/>
          </a:ln>
        </c:spPr>
        <c:crossAx val="93359104"/>
        <c:crosses val="autoZero"/>
        <c:crossBetween val="midCat"/>
        <c:majorUnit val="100"/>
        <c:minorUnit val="10"/>
      </c:valAx>
      <c:spPr>
        <a:noFill/>
        <a:ln w="25400">
          <a:solidFill>
            <a:prstClr val="black"/>
          </a:solidFill>
        </a:ln>
      </c:spPr>
    </c:plotArea>
    <c:legend>
      <c:legendPos val="r"/>
      <c:layout>
        <c:manualLayout>
          <c:xMode val="edge"/>
          <c:yMode val="edge"/>
          <c:x val="0.80411156334926737"/>
          <c:y val="3.077340332458444E-2"/>
          <c:w val="0.19588843665073274"/>
          <c:h val="0.76889308836395465"/>
        </c:manualLayout>
      </c:layout>
      <c:txPr>
        <a:bodyPr/>
        <a:lstStyle/>
        <a:p>
          <a:pPr>
            <a:defRPr sz="900" baseline="0"/>
          </a:pPr>
          <a:endParaRPr lang="en-US"/>
        </a:p>
      </c:txPr>
    </c:legend>
    <c:plotVisOnly val="1"/>
    <c:dispBlanksAs val="gap"/>
  </c:chart>
  <c:spPr>
    <a:ln>
      <a:noFill/>
    </a:ln>
  </c:spPr>
  <c:printSettings>
    <c:headerFooter/>
    <c:pageMargins b="0.5" l="0.5" r="0.25" t="0.25" header="0.30000000000000032" footer="0.30000000000000032"/>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c:lang val="en-US"/>
  <c:chart>
    <c:plotArea>
      <c:layout>
        <c:manualLayout>
          <c:layoutTarget val="inner"/>
          <c:xMode val="edge"/>
          <c:yMode val="edge"/>
          <c:x val="0.10797079498654519"/>
          <c:y val="3.2288477393858019E-2"/>
          <c:w val="0.68435936115050711"/>
          <c:h val="0.74543421465409243"/>
        </c:manualLayout>
      </c:layout>
      <c:scatterChart>
        <c:scatterStyle val="lineMarker"/>
        <c:ser>
          <c:idx val="0"/>
          <c:order val="5"/>
          <c:tx>
            <c:v>100% Volume Level</c:v>
          </c:tx>
          <c:spPr>
            <a:ln>
              <a:noFill/>
            </a:ln>
          </c:spPr>
          <c:marker>
            <c:symbol val="star"/>
            <c:size val="7"/>
            <c:spPr>
              <a:noFill/>
              <a:ln w="25400">
                <a:solidFill>
                  <a:srgbClr val="FF0000"/>
                </a:solidFill>
              </a:ln>
            </c:spPr>
          </c:marker>
          <c:dLbls>
            <c:dLbl>
              <c:idx val="0"/>
              <c:tx>
                <c:strRef>
                  <c:f>W3Calc!$B$20</c:f>
                  <c:strCache>
                    <c:ptCount val="1"/>
                    <c:pt idx="0">
                      <c:v>12 AM</c:v>
                    </c:pt>
                  </c:strCache>
                </c:strRef>
              </c:tx>
              <c:dLblPos val="t"/>
              <c:showVal val="1"/>
            </c:dLbl>
            <c:txPr>
              <a:bodyPr rot="-2400000" anchor="b" anchorCtr="1"/>
              <a:lstStyle/>
              <a:p>
                <a:pPr>
                  <a:defRPr sz="900" b="1" i="0" baseline="0">
                    <a:solidFill>
                      <a:srgbClr val="FF0000"/>
                    </a:solidFill>
                    <a:latin typeface="Arial" pitchFamily="34" charset="0"/>
                  </a:defRPr>
                </a:pPr>
                <a:endParaRPr lang="en-US"/>
              </a:p>
            </c:txPr>
            <c:showVal val="1"/>
          </c:dLbls>
          <c:xVal>
            <c:numRef>
              <c:f>W3Calc!$C$20</c:f>
              <c:numCache>
                <c:formatCode>#,##0</c:formatCode>
                <c:ptCount val="1"/>
                <c:pt idx="0">
                  <c:v>0</c:v>
                </c:pt>
              </c:numCache>
            </c:numRef>
          </c:xVal>
          <c:yVal>
            <c:numRef>
              <c:f>W3Calc!$D$20</c:f>
              <c:numCache>
                <c:formatCode>#,##0</c:formatCode>
                <c:ptCount val="1"/>
                <c:pt idx="0">
                  <c:v>0</c:v>
                </c:pt>
              </c:numCache>
            </c:numRef>
          </c:yVal>
        </c:ser>
        <c:ser>
          <c:idx val="1"/>
          <c:order val="6"/>
          <c:tx>
            <c:v>150vph lower threshold</c:v>
          </c:tx>
          <c:spPr>
            <a:ln w="25400">
              <a:solidFill>
                <a:schemeClr val="tx1"/>
              </a:solidFill>
              <a:prstDash val="lgDashDotDot"/>
            </a:ln>
          </c:spPr>
          <c:marker>
            <c:symbol val="none"/>
          </c:marker>
          <c:xVal>
            <c:numRef>
              <c:f>W3Calc!$B$25:$B$26</c:f>
              <c:numCache>
                <c:formatCode>#,##0</c:formatCode>
                <c:ptCount val="2"/>
                <c:pt idx="0">
                  <c:v>400</c:v>
                </c:pt>
                <c:pt idx="1">
                  <c:v>1800</c:v>
                </c:pt>
              </c:numCache>
            </c:numRef>
          </c:xVal>
          <c:yVal>
            <c:numRef>
              <c:f>W3Calc!$C$25:$C$26</c:f>
              <c:numCache>
                <c:formatCode>#,##0</c:formatCode>
                <c:ptCount val="2"/>
                <c:pt idx="0">
                  <c:v>150</c:v>
                </c:pt>
                <c:pt idx="1">
                  <c:v>150</c:v>
                </c:pt>
              </c:numCache>
            </c:numRef>
          </c:yVal>
        </c:ser>
        <c:ser>
          <c:idx val="2"/>
          <c:order val="7"/>
          <c:tx>
            <c:v>100vph lower threshold</c:v>
          </c:tx>
          <c:spPr>
            <a:ln w="25400">
              <a:solidFill>
                <a:prstClr val="black"/>
              </a:solidFill>
              <a:prstDash val="lgDash"/>
            </a:ln>
          </c:spPr>
          <c:marker>
            <c:symbol val="none"/>
          </c:marker>
          <c:xVal>
            <c:numRef>
              <c:f>W3Calc!$B$25:$B$26</c:f>
              <c:numCache>
                <c:formatCode>#,##0</c:formatCode>
                <c:ptCount val="2"/>
                <c:pt idx="0">
                  <c:v>400</c:v>
                </c:pt>
                <c:pt idx="1">
                  <c:v>1800</c:v>
                </c:pt>
              </c:numCache>
            </c:numRef>
          </c:xVal>
          <c:yVal>
            <c:numRef>
              <c:f>W3Calc!$D$25:$D$26</c:f>
              <c:numCache>
                <c:formatCode>#,##0</c:formatCode>
                <c:ptCount val="2"/>
                <c:pt idx="0">
                  <c:v>100</c:v>
                </c:pt>
                <c:pt idx="1">
                  <c:v>100</c:v>
                </c:pt>
              </c:numCache>
            </c:numRef>
          </c:yVal>
        </c:ser>
        <c:axId val="100560256"/>
        <c:axId val="100566528"/>
      </c:scatterChart>
      <c:scatterChart>
        <c:scatterStyle val="smoothMarker"/>
        <c:ser>
          <c:idx val="7"/>
          <c:order val="0"/>
          <c:tx>
            <c:v>Active Curve</c:v>
          </c:tx>
          <c:spPr>
            <a:ln w="38100">
              <a:solidFill>
                <a:srgbClr val="FF0000"/>
              </a:solidFill>
            </a:ln>
          </c:spPr>
          <c:marker>
            <c:symbol val="none"/>
          </c:marker>
          <c:xVal>
            <c:numRef>
              <c:f>W3Calc!$U$10:$U$145</c:f>
              <c:numCache>
                <c:formatCode>0</c:formatCode>
                <c:ptCount val="136"/>
                <c:pt idx="0">
                  <c:v>510</c:v>
                </c:pt>
                <c:pt idx="1">
                  <c:v>510</c:v>
                </c:pt>
                <c:pt idx="2">
                  <c:v>510</c:v>
                </c:pt>
                <c:pt idx="3">
                  <c:v>510</c:v>
                </c:pt>
                <c:pt idx="4">
                  <c:v>510</c:v>
                </c:pt>
                <c:pt idx="5">
                  <c:v>510</c:v>
                </c:pt>
                <c:pt idx="6">
                  <c:v>510</c:v>
                </c:pt>
                <c:pt idx="7">
                  <c:v>520</c:v>
                </c:pt>
                <c:pt idx="8">
                  <c:v>530</c:v>
                </c:pt>
                <c:pt idx="9">
                  <c:v>540</c:v>
                </c:pt>
                <c:pt idx="10">
                  <c:v>550</c:v>
                </c:pt>
                <c:pt idx="11">
                  <c:v>560</c:v>
                </c:pt>
                <c:pt idx="12">
                  <c:v>570</c:v>
                </c:pt>
                <c:pt idx="13">
                  <c:v>580</c:v>
                </c:pt>
                <c:pt idx="14">
                  <c:v>590</c:v>
                </c:pt>
                <c:pt idx="15">
                  <c:v>600</c:v>
                </c:pt>
                <c:pt idx="16">
                  <c:v>610</c:v>
                </c:pt>
                <c:pt idx="17">
                  <c:v>620</c:v>
                </c:pt>
                <c:pt idx="18">
                  <c:v>630</c:v>
                </c:pt>
                <c:pt idx="19">
                  <c:v>640</c:v>
                </c:pt>
                <c:pt idx="20">
                  <c:v>650</c:v>
                </c:pt>
                <c:pt idx="21">
                  <c:v>660</c:v>
                </c:pt>
                <c:pt idx="22">
                  <c:v>670</c:v>
                </c:pt>
                <c:pt idx="23">
                  <c:v>680</c:v>
                </c:pt>
                <c:pt idx="24">
                  <c:v>690</c:v>
                </c:pt>
                <c:pt idx="25">
                  <c:v>700</c:v>
                </c:pt>
                <c:pt idx="26">
                  <c:v>710</c:v>
                </c:pt>
                <c:pt idx="27">
                  <c:v>720</c:v>
                </c:pt>
                <c:pt idx="28">
                  <c:v>730</c:v>
                </c:pt>
                <c:pt idx="29">
                  <c:v>740</c:v>
                </c:pt>
                <c:pt idx="30">
                  <c:v>750</c:v>
                </c:pt>
                <c:pt idx="31">
                  <c:v>760</c:v>
                </c:pt>
                <c:pt idx="32">
                  <c:v>770</c:v>
                </c:pt>
                <c:pt idx="33">
                  <c:v>780</c:v>
                </c:pt>
                <c:pt idx="34">
                  <c:v>790</c:v>
                </c:pt>
                <c:pt idx="35">
                  <c:v>800</c:v>
                </c:pt>
                <c:pt idx="36">
                  <c:v>810</c:v>
                </c:pt>
                <c:pt idx="37">
                  <c:v>820</c:v>
                </c:pt>
                <c:pt idx="38">
                  <c:v>830</c:v>
                </c:pt>
                <c:pt idx="39">
                  <c:v>840</c:v>
                </c:pt>
                <c:pt idx="40">
                  <c:v>850</c:v>
                </c:pt>
                <c:pt idx="41">
                  <c:v>860</c:v>
                </c:pt>
                <c:pt idx="42">
                  <c:v>870</c:v>
                </c:pt>
                <c:pt idx="43">
                  <c:v>880</c:v>
                </c:pt>
                <c:pt idx="44">
                  <c:v>890</c:v>
                </c:pt>
                <c:pt idx="45">
                  <c:v>900</c:v>
                </c:pt>
                <c:pt idx="46">
                  <c:v>910</c:v>
                </c:pt>
                <c:pt idx="47">
                  <c:v>920</c:v>
                </c:pt>
                <c:pt idx="48">
                  <c:v>930</c:v>
                </c:pt>
                <c:pt idx="49">
                  <c:v>940</c:v>
                </c:pt>
                <c:pt idx="50">
                  <c:v>950</c:v>
                </c:pt>
                <c:pt idx="51">
                  <c:v>960</c:v>
                </c:pt>
                <c:pt idx="52">
                  <c:v>970</c:v>
                </c:pt>
                <c:pt idx="53">
                  <c:v>980</c:v>
                </c:pt>
                <c:pt idx="54">
                  <c:v>990</c:v>
                </c:pt>
                <c:pt idx="55">
                  <c:v>1000</c:v>
                </c:pt>
                <c:pt idx="56">
                  <c:v>1010</c:v>
                </c:pt>
                <c:pt idx="57">
                  <c:v>1020</c:v>
                </c:pt>
                <c:pt idx="58">
                  <c:v>1030</c:v>
                </c:pt>
                <c:pt idx="59">
                  <c:v>1040</c:v>
                </c:pt>
                <c:pt idx="60">
                  <c:v>1050</c:v>
                </c:pt>
                <c:pt idx="61">
                  <c:v>1060</c:v>
                </c:pt>
                <c:pt idx="62">
                  <c:v>1070</c:v>
                </c:pt>
                <c:pt idx="63">
                  <c:v>1080</c:v>
                </c:pt>
                <c:pt idx="64">
                  <c:v>1090</c:v>
                </c:pt>
                <c:pt idx="65">
                  <c:v>1100</c:v>
                </c:pt>
                <c:pt idx="66">
                  <c:v>1110</c:v>
                </c:pt>
                <c:pt idx="67">
                  <c:v>1120</c:v>
                </c:pt>
                <c:pt idx="68">
                  <c:v>1130</c:v>
                </c:pt>
                <c:pt idx="69">
                  <c:v>1140</c:v>
                </c:pt>
                <c:pt idx="70">
                  <c:v>1150</c:v>
                </c:pt>
                <c:pt idx="71">
                  <c:v>1160</c:v>
                </c:pt>
                <c:pt idx="72">
                  <c:v>1170</c:v>
                </c:pt>
                <c:pt idx="73">
                  <c:v>1180</c:v>
                </c:pt>
                <c:pt idx="74">
                  <c:v>1190</c:v>
                </c:pt>
                <c:pt idx="75">
                  <c:v>1200</c:v>
                </c:pt>
                <c:pt idx="76">
                  <c:v>1210</c:v>
                </c:pt>
                <c:pt idx="77">
                  <c:v>1220</c:v>
                </c:pt>
                <c:pt idx="78">
                  <c:v>1230</c:v>
                </c:pt>
                <c:pt idx="79">
                  <c:v>1240</c:v>
                </c:pt>
                <c:pt idx="80">
                  <c:v>1250</c:v>
                </c:pt>
                <c:pt idx="81">
                  <c:v>1260</c:v>
                </c:pt>
                <c:pt idx="82">
                  <c:v>1270</c:v>
                </c:pt>
                <c:pt idx="83">
                  <c:v>1280</c:v>
                </c:pt>
                <c:pt idx="84">
                  <c:v>1290</c:v>
                </c:pt>
                <c:pt idx="85">
                  <c:v>1300</c:v>
                </c:pt>
                <c:pt idx="86">
                  <c:v>1310</c:v>
                </c:pt>
                <c:pt idx="87">
                  <c:v>1320</c:v>
                </c:pt>
                <c:pt idx="88">
                  <c:v>1330</c:v>
                </c:pt>
                <c:pt idx="89">
                  <c:v>1340</c:v>
                </c:pt>
                <c:pt idx="90">
                  <c:v>1350</c:v>
                </c:pt>
                <c:pt idx="91">
                  <c:v>1360</c:v>
                </c:pt>
                <c:pt idx="92">
                  <c:v>1370</c:v>
                </c:pt>
                <c:pt idx="93">
                  <c:v>1380</c:v>
                </c:pt>
                <c:pt idx="94">
                  <c:v>1390</c:v>
                </c:pt>
                <c:pt idx="95">
                  <c:v>1400</c:v>
                </c:pt>
                <c:pt idx="96">
                  <c:v>1410</c:v>
                </c:pt>
                <c:pt idx="97">
                  <c:v>1420</c:v>
                </c:pt>
                <c:pt idx="98">
                  <c:v>1430</c:v>
                </c:pt>
                <c:pt idx="99">
                  <c:v>1440</c:v>
                </c:pt>
                <c:pt idx="100">
                  <c:v>1450</c:v>
                </c:pt>
                <c:pt idx="101">
                  <c:v>1460</c:v>
                </c:pt>
                <c:pt idx="102">
                  <c:v>1470</c:v>
                </c:pt>
                <c:pt idx="103">
                  <c:v>1480</c:v>
                </c:pt>
                <c:pt idx="104">
                  <c:v>1490</c:v>
                </c:pt>
                <c:pt idx="105">
                  <c:v>1500</c:v>
                </c:pt>
                <c:pt idx="106">
                  <c:v>1510</c:v>
                </c:pt>
                <c:pt idx="107">
                  <c:v>1520</c:v>
                </c:pt>
                <c:pt idx="108">
                  <c:v>1530</c:v>
                </c:pt>
                <c:pt idx="109">
                  <c:v>1540</c:v>
                </c:pt>
                <c:pt idx="110">
                  <c:v>1550</c:v>
                </c:pt>
                <c:pt idx="111">
                  <c:v>1560</c:v>
                </c:pt>
                <c:pt idx="112">
                  <c:v>1570</c:v>
                </c:pt>
                <c:pt idx="113">
                  <c:v>1580</c:v>
                </c:pt>
                <c:pt idx="114">
                  <c:v>1590</c:v>
                </c:pt>
                <c:pt idx="115">
                  <c:v>1600</c:v>
                </c:pt>
                <c:pt idx="116">
                  <c:v>1610</c:v>
                </c:pt>
                <c:pt idx="117">
                  <c:v>1620</c:v>
                </c:pt>
                <c:pt idx="118">
                  <c:v>1630</c:v>
                </c:pt>
                <c:pt idx="119">
                  <c:v>1640</c:v>
                </c:pt>
                <c:pt idx="120">
                  <c:v>1650</c:v>
                </c:pt>
                <c:pt idx="121">
                  <c:v>1660</c:v>
                </c:pt>
                <c:pt idx="122">
                  <c:v>1670</c:v>
                </c:pt>
                <c:pt idx="123">
                  <c:v>1680</c:v>
                </c:pt>
                <c:pt idx="124">
                  <c:v>1690</c:v>
                </c:pt>
                <c:pt idx="125">
                  <c:v>1700</c:v>
                </c:pt>
                <c:pt idx="126">
                  <c:v>1710</c:v>
                </c:pt>
                <c:pt idx="127">
                  <c:v>1720</c:v>
                </c:pt>
                <c:pt idx="128">
                  <c:v>1730</c:v>
                </c:pt>
                <c:pt idx="129">
                  <c:v>1740</c:v>
                </c:pt>
                <c:pt idx="130">
                  <c:v>1750</c:v>
                </c:pt>
                <c:pt idx="131">
                  <c:v>1760</c:v>
                </c:pt>
                <c:pt idx="132">
                  <c:v>1770</c:v>
                </c:pt>
                <c:pt idx="133">
                  <c:v>1780</c:v>
                </c:pt>
                <c:pt idx="134">
                  <c:v>1790</c:v>
                </c:pt>
                <c:pt idx="135">
                  <c:v>1800</c:v>
                </c:pt>
              </c:numCache>
            </c:numRef>
          </c:xVal>
          <c:yVal>
            <c:numRef>
              <c:f>W3Calc!$V$10:$V$145</c:f>
              <c:numCache>
                <c:formatCode>0.00</c:formatCode>
                <c:ptCount val="136"/>
                <c:pt idx="0">
                  <c:v>514.57000000000005</c:v>
                </c:pt>
                <c:pt idx="1">
                  <c:v>514.57000000000005</c:v>
                </c:pt>
                <c:pt idx="2">
                  <c:v>514.57000000000005</c:v>
                </c:pt>
                <c:pt idx="3">
                  <c:v>514.57000000000005</c:v>
                </c:pt>
                <c:pt idx="4">
                  <c:v>514.57000000000005</c:v>
                </c:pt>
                <c:pt idx="5">
                  <c:v>514.57000000000005</c:v>
                </c:pt>
                <c:pt idx="6">
                  <c:v>514.57000000000005</c:v>
                </c:pt>
                <c:pt idx="7">
                  <c:v>509.23</c:v>
                </c:pt>
                <c:pt idx="8">
                  <c:v>503.91</c:v>
                </c:pt>
                <c:pt idx="9">
                  <c:v>498.61</c:v>
                </c:pt>
                <c:pt idx="10">
                  <c:v>493.34</c:v>
                </c:pt>
                <c:pt idx="11">
                  <c:v>488.08</c:v>
                </c:pt>
                <c:pt idx="12">
                  <c:v>482.85</c:v>
                </c:pt>
                <c:pt idx="13">
                  <c:v>477.64</c:v>
                </c:pt>
                <c:pt idx="14">
                  <c:v>472.46</c:v>
                </c:pt>
                <c:pt idx="15">
                  <c:v>467.3</c:v>
                </c:pt>
                <c:pt idx="16">
                  <c:v>462.16</c:v>
                </c:pt>
                <c:pt idx="17">
                  <c:v>457.05</c:v>
                </c:pt>
                <c:pt idx="18">
                  <c:v>451.97</c:v>
                </c:pt>
                <c:pt idx="19">
                  <c:v>446.91</c:v>
                </c:pt>
                <c:pt idx="20">
                  <c:v>441.88</c:v>
                </c:pt>
                <c:pt idx="21">
                  <c:v>436.88</c:v>
                </c:pt>
                <c:pt idx="22">
                  <c:v>431.9</c:v>
                </c:pt>
                <c:pt idx="23">
                  <c:v>426.96</c:v>
                </c:pt>
                <c:pt idx="24">
                  <c:v>422.04</c:v>
                </c:pt>
                <c:pt idx="25">
                  <c:v>417.15</c:v>
                </c:pt>
                <c:pt idx="26">
                  <c:v>412.3</c:v>
                </c:pt>
                <c:pt idx="27">
                  <c:v>407.47</c:v>
                </c:pt>
                <c:pt idx="28">
                  <c:v>402.67</c:v>
                </c:pt>
                <c:pt idx="29">
                  <c:v>397.91</c:v>
                </c:pt>
                <c:pt idx="30">
                  <c:v>393.18</c:v>
                </c:pt>
                <c:pt idx="31">
                  <c:v>388.47</c:v>
                </c:pt>
                <c:pt idx="32">
                  <c:v>383.81</c:v>
                </c:pt>
                <c:pt idx="33">
                  <c:v>379.17</c:v>
                </c:pt>
                <c:pt idx="34">
                  <c:v>374.57</c:v>
                </c:pt>
                <c:pt idx="35">
                  <c:v>370</c:v>
                </c:pt>
                <c:pt idx="36">
                  <c:v>365.46</c:v>
                </c:pt>
                <c:pt idx="37">
                  <c:v>360.96</c:v>
                </c:pt>
                <c:pt idx="38">
                  <c:v>356.49</c:v>
                </c:pt>
                <c:pt idx="39">
                  <c:v>352.06</c:v>
                </c:pt>
                <c:pt idx="40">
                  <c:v>347.67</c:v>
                </c:pt>
                <c:pt idx="41">
                  <c:v>343.3</c:v>
                </c:pt>
                <c:pt idx="42">
                  <c:v>338.98</c:v>
                </c:pt>
                <c:pt idx="43">
                  <c:v>334.69</c:v>
                </c:pt>
                <c:pt idx="44">
                  <c:v>330.43</c:v>
                </c:pt>
                <c:pt idx="45">
                  <c:v>326.22000000000003</c:v>
                </c:pt>
                <c:pt idx="46">
                  <c:v>322.04000000000002</c:v>
                </c:pt>
                <c:pt idx="47">
                  <c:v>317.89</c:v>
                </c:pt>
                <c:pt idx="48">
                  <c:v>313.77999999999997</c:v>
                </c:pt>
                <c:pt idx="49">
                  <c:v>309.70999999999998</c:v>
                </c:pt>
                <c:pt idx="50">
                  <c:v>305.68</c:v>
                </c:pt>
                <c:pt idx="51">
                  <c:v>301.69</c:v>
                </c:pt>
                <c:pt idx="52">
                  <c:v>297.73</c:v>
                </c:pt>
                <c:pt idx="53">
                  <c:v>293.81</c:v>
                </c:pt>
                <c:pt idx="54">
                  <c:v>289.93</c:v>
                </c:pt>
                <c:pt idx="55">
                  <c:v>286.08999999999997</c:v>
                </c:pt>
                <c:pt idx="56">
                  <c:v>282.27999999999997</c:v>
                </c:pt>
                <c:pt idx="57">
                  <c:v>278.52</c:v>
                </c:pt>
                <c:pt idx="58">
                  <c:v>274.79000000000002</c:v>
                </c:pt>
                <c:pt idx="59">
                  <c:v>271.10000000000002</c:v>
                </c:pt>
                <c:pt idx="60">
                  <c:v>267.45</c:v>
                </c:pt>
                <c:pt idx="61">
                  <c:v>263.83999999999997</c:v>
                </c:pt>
                <c:pt idx="62">
                  <c:v>260.27</c:v>
                </c:pt>
                <c:pt idx="63">
                  <c:v>256.73</c:v>
                </c:pt>
                <c:pt idx="64">
                  <c:v>253.24</c:v>
                </c:pt>
                <c:pt idx="65">
                  <c:v>249.78</c:v>
                </c:pt>
                <c:pt idx="66">
                  <c:v>246.37</c:v>
                </c:pt>
                <c:pt idx="67">
                  <c:v>242.99</c:v>
                </c:pt>
                <c:pt idx="68">
                  <c:v>239.65</c:v>
                </c:pt>
                <c:pt idx="69">
                  <c:v>236.35</c:v>
                </c:pt>
                <c:pt idx="70">
                  <c:v>233.09</c:v>
                </c:pt>
                <c:pt idx="71">
                  <c:v>229.87</c:v>
                </c:pt>
                <c:pt idx="72">
                  <c:v>226.69</c:v>
                </c:pt>
                <c:pt idx="73">
                  <c:v>223.54</c:v>
                </c:pt>
                <c:pt idx="74">
                  <c:v>220.44</c:v>
                </c:pt>
                <c:pt idx="75">
                  <c:v>217.37</c:v>
                </c:pt>
                <c:pt idx="76">
                  <c:v>214.34</c:v>
                </c:pt>
                <c:pt idx="77">
                  <c:v>211.35</c:v>
                </c:pt>
                <c:pt idx="78">
                  <c:v>208.4</c:v>
                </c:pt>
                <c:pt idx="79">
                  <c:v>205.49</c:v>
                </c:pt>
                <c:pt idx="80">
                  <c:v>202.61</c:v>
                </c:pt>
                <c:pt idx="81">
                  <c:v>199.78</c:v>
                </c:pt>
                <c:pt idx="82">
                  <c:v>196.98</c:v>
                </c:pt>
                <c:pt idx="83">
                  <c:v>194.22</c:v>
                </c:pt>
                <c:pt idx="84">
                  <c:v>191.49</c:v>
                </c:pt>
                <c:pt idx="85">
                  <c:v>188.8</c:v>
                </c:pt>
                <c:pt idx="86">
                  <c:v>186.15</c:v>
                </c:pt>
                <c:pt idx="87">
                  <c:v>183.54</c:v>
                </c:pt>
                <c:pt idx="88">
                  <c:v>180.96</c:v>
                </c:pt>
                <c:pt idx="89">
                  <c:v>178.42</c:v>
                </c:pt>
                <c:pt idx="90">
                  <c:v>175.92</c:v>
                </c:pt>
                <c:pt idx="91">
                  <c:v>173.45</c:v>
                </c:pt>
                <c:pt idx="92">
                  <c:v>171.02</c:v>
                </c:pt>
                <c:pt idx="93">
                  <c:v>168.62</c:v>
                </c:pt>
                <c:pt idx="94">
                  <c:v>166.26</c:v>
                </c:pt>
                <c:pt idx="95">
                  <c:v>163.93</c:v>
                </c:pt>
                <c:pt idx="96">
                  <c:v>161.63999999999999</c:v>
                </c:pt>
                <c:pt idx="97">
                  <c:v>159.38</c:v>
                </c:pt>
                <c:pt idx="98">
                  <c:v>157.16</c:v>
                </c:pt>
                <c:pt idx="99">
                  <c:v>154.97</c:v>
                </c:pt>
                <c:pt idx="100">
                  <c:v>152.81</c:v>
                </c:pt>
                <c:pt idx="101">
                  <c:v>150.68</c:v>
                </c:pt>
                <c:pt idx="102">
                  <c:v>148.59</c:v>
                </c:pt>
                <c:pt idx="103">
                  <c:v>146.53</c:v>
                </c:pt>
                <c:pt idx="104">
                  <c:v>144.5</c:v>
                </c:pt>
                <c:pt idx="105">
                  <c:v>142.5</c:v>
                </c:pt>
                <c:pt idx="106">
                  <c:v>140.53</c:v>
                </c:pt>
                <c:pt idx="107">
                  <c:v>138.6</c:v>
                </c:pt>
                <c:pt idx="108">
                  <c:v>136.69</c:v>
                </c:pt>
                <c:pt idx="109">
                  <c:v>134.81</c:v>
                </c:pt>
                <c:pt idx="110">
                  <c:v>132.97</c:v>
                </c:pt>
                <c:pt idx="111">
                  <c:v>131.15</c:v>
                </c:pt>
                <c:pt idx="112">
                  <c:v>129.35</c:v>
                </c:pt>
                <c:pt idx="113">
                  <c:v>127.59</c:v>
                </c:pt>
                <c:pt idx="114">
                  <c:v>125.85</c:v>
                </c:pt>
                <c:pt idx="115">
                  <c:v>124.14</c:v>
                </c:pt>
                <c:pt idx="116">
                  <c:v>122.46</c:v>
                </c:pt>
                <c:pt idx="117">
                  <c:v>120.8</c:v>
                </c:pt>
                <c:pt idx="118">
                  <c:v>119.17</c:v>
                </c:pt>
                <c:pt idx="119">
                  <c:v>117.56</c:v>
                </c:pt>
                <c:pt idx="120">
                  <c:v>115.97</c:v>
                </c:pt>
                <c:pt idx="121">
                  <c:v>114.41</c:v>
                </c:pt>
                <c:pt idx="122">
                  <c:v>112.87</c:v>
                </c:pt>
                <c:pt idx="123">
                  <c:v>111.35</c:v>
                </c:pt>
                <c:pt idx="124">
                  <c:v>109.86</c:v>
                </c:pt>
                <c:pt idx="125">
                  <c:v>108.38</c:v>
                </c:pt>
                <c:pt idx="126">
                  <c:v>106.93</c:v>
                </c:pt>
                <c:pt idx="127">
                  <c:v>105.49</c:v>
                </c:pt>
                <c:pt idx="128">
                  <c:v>104.08</c:v>
                </c:pt>
                <c:pt idx="129">
                  <c:v>102.68</c:v>
                </c:pt>
                <c:pt idx="130">
                  <c:v>101.3</c:v>
                </c:pt>
                <c:pt idx="131">
                  <c:v>100</c:v>
                </c:pt>
                <c:pt idx="132">
                  <c:v>100</c:v>
                </c:pt>
                <c:pt idx="133">
                  <c:v>100</c:v>
                </c:pt>
                <c:pt idx="134">
                  <c:v>100</c:v>
                </c:pt>
                <c:pt idx="135">
                  <c:v>100</c:v>
                </c:pt>
              </c:numCache>
            </c:numRef>
          </c:yVal>
          <c:smooth val="1"/>
        </c:ser>
        <c:ser>
          <c:idx val="3"/>
          <c:order val="1"/>
          <c:tx>
            <c:v>2+ Major &amp; 2+ Minor</c:v>
          </c:tx>
          <c:spPr>
            <a:ln w="12700" cmpd="sng">
              <a:solidFill>
                <a:srgbClr val="0000FF"/>
              </a:solidFill>
            </a:ln>
          </c:spPr>
          <c:marker>
            <c:symbol val="none"/>
          </c:marker>
          <c:xVal>
            <c:numRef>
              <c:f>W3Calc!$P$5:$P$145</c:f>
              <c:numCache>
                <c:formatCode>0</c:formatCode>
                <c:ptCount val="141"/>
                <c:pt idx="0">
                  <c:v>400</c:v>
                </c:pt>
                <c:pt idx="1">
                  <c:v>410</c:v>
                </c:pt>
                <c:pt idx="2">
                  <c:v>420</c:v>
                </c:pt>
                <c:pt idx="3">
                  <c:v>430</c:v>
                </c:pt>
                <c:pt idx="4">
                  <c:v>440</c:v>
                </c:pt>
                <c:pt idx="5">
                  <c:v>450</c:v>
                </c:pt>
                <c:pt idx="6">
                  <c:v>460</c:v>
                </c:pt>
                <c:pt idx="7">
                  <c:v>470</c:v>
                </c:pt>
                <c:pt idx="8">
                  <c:v>480</c:v>
                </c:pt>
                <c:pt idx="9">
                  <c:v>490</c:v>
                </c:pt>
                <c:pt idx="10">
                  <c:v>500</c:v>
                </c:pt>
                <c:pt idx="11">
                  <c:v>510</c:v>
                </c:pt>
                <c:pt idx="12">
                  <c:v>520</c:v>
                </c:pt>
                <c:pt idx="13">
                  <c:v>530</c:v>
                </c:pt>
                <c:pt idx="14">
                  <c:v>540</c:v>
                </c:pt>
                <c:pt idx="15">
                  <c:v>550</c:v>
                </c:pt>
                <c:pt idx="16">
                  <c:v>560</c:v>
                </c:pt>
                <c:pt idx="17">
                  <c:v>570</c:v>
                </c:pt>
                <c:pt idx="18">
                  <c:v>580</c:v>
                </c:pt>
                <c:pt idx="19">
                  <c:v>590</c:v>
                </c:pt>
                <c:pt idx="20">
                  <c:v>600</c:v>
                </c:pt>
                <c:pt idx="21">
                  <c:v>610</c:v>
                </c:pt>
                <c:pt idx="22">
                  <c:v>620</c:v>
                </c:pt>
                <c:pt idx="23">
                  <c:v>630</c:v>
                </c:pt>
                <c:pt idx="24">
                  <c:v>640</c:v>
                </c:pt>
                <c:pt idx="25">
                  <c:v>650</c:v>
                </c:pt>
                <c:pt idx="26">
                  <c:v>660</c:v>
                </c:pt>
                <c:pt idx="27">
                  <c:v>670</c:v>
                </c:pt>
                <c:pt idx="28">
                  <c:v>680</c:v>
                </c:pt>
                <c:pt idx="29">
                  <c:v>690</c:v>
                </c:pt>
                <c:pt idx="30">
                  <c:v>700</c:v>
                </c:pt>
                <c:pt idx="31">
                  <c:v>710</c:v>
                </c:pt>
                <c:pt idx="32">
                  <c:v>720</c:v>
                </c:pt>
                <c:pt idx="33">
                  <c:v>730</c:v>
                </c:pt>
                <c:pt idx="34">
                  <c:v>740</c:v>
                </c:pt>
                <c:pt idx="35">
                  <c:v>750</c:v>
                </c:pt>
                <c:pt idx="36">
                  <c:v>760</c:v>
                </c:pt>
                <c:pt idx="37">
                  <c:v>770</c:v>
                </c:pt>
                <c:pt idx="38">
                  <c:v>780</c:v>
                </c:pt>
                <c:pt idx="39">
                  <c:v>790</c:v>
                </c:pt>
                <c:pt idx="40">
                  <c:v>800</c:v>
                </c:pt>
                <c:pt idx="41">
                  <c:v>810</c:v>
                </c:pt>
                <c:pt idx="42">
                  <c:v>820</c:v>
                </c:pt>
                <c:pt idx="43">
                  <c:v>830</c:v>
                </c:pt>
                <c:pt idx="44">
                  <c:v>840</c:v>
                </c:pt>
                <c:pt idx="45">
                  <c:v>850</c:v>
                </c:pt>
                <c:pt idx="46">
                  <c:v>860</c:v>
                </c:pt>
                <c:pt idx="47">
                  <c:v>870</c:v>
                </c:pt>
                <c:pt idx="48">
                  <c:v>880</c:v>
                </c:pt>
                <c:pt idx="49">
                  <c:v>890</c:v>
                </c:pt>
                <c:pt idx="50">
                  <c:v>900</c:v>
                </c:pt>
                <c:pt idx="51">
                  <c:v>910</c:v>
                </c:pt>
                <c:pt idx="52">
                  <c:v>920</c:v>
                </c:pt>
                <c:pt idx="53">
                  <c:v>930</c:v>
                </c:pt>
                <c:pt idx="54">
                  <c:v>940</c:v>
                </c:pt>
                <c:pt idx="55">
                  <c:v>950</c:v>
                </c:pt>
                <c:pt idx="56">
                  <c:v>960</c:v>
                </c:pt>
                <c:pt idx="57">
                  <c:v>970</c:v>
                </c:pt>
                <c:pt idx="58">
                  <c:v>980</c:v>
                </c:pt>
                <c:pt idx="59">
                  <c:v>990</c:v>
                </c:pt>
                <c:pt idx="60">
                  <c:v>1000</c:v>
                </c:pt>
                <c:pt idx="61">
                  <c:v>1010</c:v>
                </c:pt>
                <c:pt idx="62">
                  <c:v>1020</c:v>
                </c:pt>
                <c:pt idx="63">
                  <c:v>1030</c:v>
                </c:pt>
                <c:pt idx="64">
                  <c:v>1040</c:v>
                </c:pt>
                <c:pt idx="65">
                  <c:v>1050</c:v>
                </c:pt>
                <c:pt idx="66">
                  <c:v>1060</c:v>
                </c:pt>
                <c:pt idx="67">
                  <c:v>1070</c:v>
                </c:pt>
                <c:pt idx="68">
                  <c:v>1080</c:v>
                </c:pt>
                <c:pt idx="69">
                  <c:v>1090</c:v>
                </c:pt>
                <c:pt idx="70">
                  <c:v>1100</c:v>
                </c:pt>
                <c:pt idx="71">
                  <c:v>1110</c:v>
                </c:pt>
                <c:pt idx="72">
                  <c:v>1120</c:v>
                </c:pt>
                <c:pt idx="73">
                  <c:v>1130</c:v>
                </c:pt>
                <c:pt idx="74">
                  <c:v>1140</c:v>
                </c:pt>
                <c:pt idx="75">
                  <c:v>1150</c:v>
                </c:pt>
                <c:pt idx="76">
                  <c:v>1160</c:v>
                </c:pt>
                <c:pt idx="77">
                  <c:v>1170</c:v>
                </c:pt>
                <c:pt idx="78">
                  <c:v>1180</c:v>
                </c:pt>
                <c:pt idx="79">
                  <c:v>1190</c:v>
                </c:pt>
                <c:pt idx="80">
                  <c:v>1200</c:v>
                </c:pt>
                <c:pt idx="81">
                  <c:v>1210</c:v>
                </c:pt>
                <c:pt idx="82">
                  <c:v>1220</c:v>
                </c:pt>
                <c:pt idx="83">
                  <c:v>1230</c:v>
                </c:pt>
                <c:pt idx="84">
                  <c:v>1240</c:v>
                </c:pt>
                <c:pt idx="85">
                  <c:v>1250</c:v>
                </c:pt>
                <c:pt idx="86">
                  <c:v>1260</c:v>
                </c:pt>
                <c:pt idx="87">
                  <c:v>1270</c:v>
                </c:pt>
                <c:pt idx="88">
                  <c:v>1280</c:v>
                </c:pt>
                <c:pt idx="89">
                  <c:v>1290</c:v>
                </c:pt>
                <c:pt idx="90">
                  <c:v>1300</c:v>
                </c:pt>
                <c:pt idx="91">
                  <c:v>1310</c:v>
                </c:pt>
                <c:pt idx="92">
                  <c:v>1320</c:v>
                </c:pt>
                <c:pt idx="93">
                  <c:v>1330</c:v>
                </c:pt>
                <c:pt idx="94">
                  <c:v>1340</c:v>
                </c:pt>
                <c:pt idx="95">
                  <c:v>1350</c:v>
                </c:pt>
                <c:pt idx="96">
                  <c:v>1360</c:v>
                </c:pt>
                <c:pt idx="97">
                  <c:v>1370</c:v>
                </c:pt>
                <c:pt idx="98">
                  <c:v>1380</c:v>
                </c:pt>
                <c:pt idx="99">
                  <c:v>1390</c:v>
                </c:pt>
                <c:pt idx="100">
                  <c:v>1400</c:v>
                </c:pt>
                <c:pt idx="101">
                  <c:v>1410</c:v>
                </c:pt>
                <c:pt idx="102">
                  <c:v>1420</c:v>
                </c:pt>
                <c:pt idx="103">
                  <c:v>1430</c:v>
                </c:pt>
                <c:pt idx="104">
                  <c:v>1440</c:v>
                </c:pt>
                <c:pt idx="105">
                  <c:v>1450</c:v>
                </c:pt>
                <c:pt idx="106">
                  <c:v>1460</c:v>
                </c:pt>
                <c:pt idx="107">
                  <c:v>1470</c:v>
                </c:pt>
                <c:pt idx="108">
                  <c:v>1480</c:v>
                </c:pt>
                <c:pt idx="109">
                  <c:v>1490</c:v>
                </c:pt>
                <c:pt idx="110">
                  <c:v>1500</c:v>
                </c:pt>
                <c:pt idx="111">
                  <c:v>1510</c:v>
                </c:pt>
                <c:pt idx="112">
                  <c:v>1520</c:v>
                </c:pt>
                <c:pt idx="113">
                  <c:v>1530</c:v>
                </c:pt>
                <c:pt idx="114">
                  <c:v>1540</c:v>
                </c:pt>
                <c:pt idx="115">
                  <c:v>1550</c:v>
                </c:pt>
                <c:pt idx="116">
                  <c:v>1560</c:v>
                </c:pt>
                <c:pt idx="117">
                  <c:v>1570</c:v>
                </c:pt>
                <c:pt idx="118">
                  <c:v>1580</c:v>
                </c:pt>
                <c:pt idx="119">
                  <c:v>1590</c:v>
                </c:pt>
                <c:pt idx="120">
                  <c:v>1600</c:v>
                </c:pt>
                <c:pt idx="121">
                  <c:v>1610</c:v>
                </c:pt>
                <c:pt idx="122">
                  <c:v>1620</c:v>
                </c:pt>
                <c:pt idx="123">
                  <c:v>1630</c:v>
                </c:pt>
                <c:pt idx="124">
                  <c:v>1640</c:v>
                </c:pt>
                <c:pt idx="125">
                  <c:v>1650</c:v>
                </c:pt>
                <c:pt idx="126">
                  <c:v>1660</c:v>
                </c:pt>
                <c:pt idx="127">
                  <c:v>1670</c:v>
                </c:pt>
                <c:pt idx="128">
                  <c:v>1680</c:v>
                </c:pt>
                <c:pt idx="129">
                  <c:v>1690</c:v>
                </c:pt>
                <c:pt idx="130">
                  <c:v>1700</c:v>
                </c:pt>
                <c:pt idx="131">
                  <c:v>1710</c:v>
                </c:pt>
                <c:pt idx="132">
                  <c:v>1720</c:v>
                </c:pt>
                <c:pt idx="133">
                  <c:v>1730</c:v>
                </c:pt>
                <c:pt idx="134">
                  <c:v>1740</c:v>
                </c:pt>
                <c:pt idx="135">
                  <c:v>1750</c:v>
                </c:pt>
                <c:pt idx="136">
                  <c:v>1760</c:v>
                </c:pt>
                <c:pt idx="137">
                  <c:v>1770</c:v>
                </c:pt>
                <c:pt idx="138">
                  <c:v>1780</c:v>
                </c:pt>
                <c:pt idx="139">
                  <c:v>1790</c:v>
                </c:pt>
                <c:pt idx="140">
                  <c:v>1800</c:v>
                </c:pt>
              </c:numCache>
            </c:numRef>
          </c:xVal>
          <c:yVal>
            <c:numRef>
              <c:f>W3Calc!$Q$5:$Q$145</c:f>
              <c:numCache>
                <c:formatCode>0.00</c:formatCode>
                <c:ptCount val="141"/>
                <c:pt idx="20">
                  <c:v>598.15</c:v>
                </c:pt>
                <c:pt idx="21">
                  <c:v>592.23</c:v>
                </c:pt>
                <c:pt idx="22">
                  <c:v>586.30999999999995</c:v>
                </c:pt>
                <c:pt idx="23">
                  <c:v>580.39</c:v>
                </c:pt>
                <c:pt idx="24">
                  <c:v>574.48</c:v>
                </c:pt>
                <c:pt idx="25">
                  <c:v>568.55999999999995</c:v>
                </c:pt>
                <c:pt idx="26">
                  <c:v>562.65</c:v>
                </c:pt>
                <c:pt idx="27">
                  <c:v>556.75</c:v>
                </c:pt>
                <c:pt idx="28">
                  <c:v>550.86</c:v>
                </c:pt>
                <c:pt idx="29">
                  <c:v>544.97</c:v>
                </c:pt>
                <c:pt idx="30">
                  <c:v>539.1</c:v>
                </c:pt>
                <c:pt idx="31">
                  <c:v>533.24</c:v>
                </c:pt>
                <c:pt idx="32">
                  <c:v>527.4</c:v>
                </c:pt>
                <c:pt idx="33">
                  <c:v>521.57000000000005</c:v>
                </c:pt>
                <c:pt idx="34">
                  <c:v>515.76</c:v>
                </c:pt>
                <c:pt idx="35">
                  <c:v>509.96</c:v>
                </c:pt>
                <c:pt idx="36">
                  <c:v>504.19</c:v>
                </c:pt>
                <c:pt idx="37">
                  <c:v>498.44</c:v>
                </c:pt>
                <c:pt idx="38">
                  <c:v>492.71</c:v>
                </c:pt>
                <c:pt idx="39">
                  <c:v>487</c:v>
                </c:pt>
                <c:pt idx="40">
                  <c:v>481.32</c:v>
                </c:pt>
                <c:pt idx="41">
                  <c:v>475.66</c:v>
                </c:pt>
                <c:pt idx="42">
                  <c:v>470.03</c:v>
                </c:pt>
                <c:pt idx="43">
                  <c:v>464.43</c:v>
                </c:pt>
                <c:pt idx="44">
                  <c:v>458.85</c:v>
                </c:pt>
                <c:pt idx="45">
                  <c:v>453.31</c:v>
                </c:pt>
                <c:pt idx="46">
                  <c:v>447.8</c:v>
                </c:pt>
                <c:pt idx="47">
                  <c:v>442.32</c:v>
                </c:pt>
                <c:pt idx="48">
                  <c:v>436.88</c:v>
                </c:pt>
                <c:pt idx="49">
                  <c:v>431.47</c:v>
                </c:pt>
                <c:pt idx="50">
                  <c:v>426.09</c:v>
                </c:pt>
                <c:pt idx="51">
                  <c:v>420.75</c:v>
                </c:pt>
                <c:pt idx="52">
                  <c:v>415.45</c:v>
                </c:pt>
                <c:pt idx="53">
                  <c:v>410.19</c:v>
                </c:pt>
                <c:pt idx="54">
                  <c:v>404.96</c:v>
                </c:pt>
                <c:pt idx="55">
                  <c:v>399.78</c:v>
                </c:pt>
                <c:pt idx="56">
                  <c:v>394.63</c:v>
                </c:pt>
                <c:pt idx="57">
                  <c:v>389.53</c:v>
                </c:pt>
                <c:pt idx="58">
                  <c:v>384.47</c:v>
                </c:pt>
                <c:pt idx="59">
                  <c:v>379.45</c:v>
                </c:pt>
                <c:pt idx="60">
                  <c:v>374.47</c:v>
                </c:pt>
                <c:pt idx="61">
                  <c:v>369.54</c:v>
                </c:pt>
                <c:pt idx="62">
                  <c:v>364.66</c:v>
                </c:pt>
                <c:pt idx="63">
                  <c:v>359.82</c:v>
                </c:pt>
                <c:pt idx="64">
                  <c:v>355.02</c:v>
                </c:pt>
                <c:pt idx="65">
                  <c:v>350.27</c:v>
                </c:pt>
                <c:pt idx="66">
                  <c:v>345.57</c:v>
                </c:pt>
                <c:pt idx="67">
                  <c:v>340.92</c:v>
                </c:pt>
                <c:pt idx="68">
                  <c:v>336.31</c:v>
                </c:pt>
                <c:pt idx="69">
                  <c:v>331.76</c:v>
                </c:pt>
                <c:pt idx="70">
                  <c:v>327.25</c:v>
                </c:pt>
                <c:pt idx="71">
                  <c:v>322.79000000000002</c:v>
                </c:pt>
                <c:pt idx="72">
                  <c:v>318.38</c:v>
                </c:pt>
                <c:pt idx="73">
                  <c:v>314.02</c:v>
                </c:pt>
                <c:pt idx="74">
                  <c:v>309.72000000000003</c:v>
                </c:pt>
                <c:pt idx="75">
                  <c:v>305.45999999999998</c:v>
                </c:pt>
                <c:pt idx="76">
                  <c:v>301.25</c:v>
                </c:pt>
                <c:pt idx="77">
                  <c:v>297.10000000000002</c:v>
                </c:pt>
                <c:pt idx="78">
                  <c:v>293</c:v>
                </c:pt>
                <c:pt idx="79">
                  <c:v>288.94</c:v>
                </c:pt>
                <c:pt idx="80">
                  <c:v>284.95</c:v>
                </c:pt>
                <c:pt idx="81">
                  <c:v>281</c:v>
                </c:pt>
                <c:pt idx="82">
                  <c:v>277.11</c:v>
                </c:pt>
                <c:pt idx="83">
                  <c:v>273.26</c:v>
                </c:pt>
                <c:pt idx="84">
                  <c:v>269.48</c:v>
                </c:pt>
                <c:pt idx="85">
                  <c:v>265.74</c:v>
                </c:pt>
                <c:pt idx="86">
                  <c:v>262.06</c:v>
                </c:pt>
                <c:pt idx="87">
                  <c:v>258.42</c:v>
                </c:pt>
                <c:pt idx="88">
                  <c:v>254.85</c:v>
                </c:pt>
                <c:pt idx="89">
                  <c:v>251.32</c:v>
                </c:pt>
                <c:pt idx="90">
                  <c:v>247.85</c:v>
                </c:pt>
                <c:pt idx="91">
                  <c:v>244.43</c:v>
                </c:pt>
                <c:pt idx="92">
                  <c:v>241.06</c:v>
                </c:pt>
                <c:pt idx="93">
                  <c:v>237.74</c:v>
                </c:pt>
                <c:pt idx="94">
                  <c:v>234.48</c:v>
                </c:pt>
                <c:pt idx="95">
                  <c:v>231.27</c:v>
                </c:pt>
                <c:pt idx="96">
                  <c:v>228.1</c:v>
                </c:pt>
                <c:pt idx="97">
                  <c:v>225</c:v>
                </c:pt>
                <c:pt idx="98">
                  <c:v>221.94</c:v>
                </c:pt>
                <c:pt idx="99">
                  <c:v>218.93</c:v>
                </c:pt>
                <c:pt idx="100">
                  <c:v>215.97</c:v>
                </c:pt>
                <c:pt idx="101">
                  <c:v>213.07</c:v>
                </c:pt>
                <c:pt idx="102">
                  <c:v>210.21</c:v>
                </c:pt>
                <c:pt idx="103">
                  <c:v>207.4</c:v>
                </c:pt>
                <c:pt idx="104">
                  <c:v>204.64</c:v>
                </c:pt>
                <c:pt idx="105">
                  <c:v>201.93</c:v>
                </c:pt>
                <c:pt idx="106">
                  <c:v>199.27</c:v>
                </c:pt>
                <c:pt idx="107">
                  <c:v>196.66</c:v>
                </c:pt>
                <c:pt idx="108">
                  <c:v>194.09</c:v>
                </c:pt>
                <c:pt idx="109">
                  <c:v>191.57</c:v>
                </c:pt>
                <c:pt idx="110">
                  <c:v>189.1</c:v>
                </c:pt>
                <c:pt idx="111">
                  <c:v>186.67</c:v>
                </c:pt>
                <c:pt idx="112">
                  <c:v>184.28</c:v>
                </c:pt>
                <c:pt idx="113">
                  <c:v>181.94</c:v>
                </c:pt>
                <c:pt idx="114">
                  <c:v>179.64</c:v>
                </c:pt>
                <c:pt idx="115">
                  <c:v>177.39</c:v>
                </c:pt>
                <c:pt idx="116">
                  <c:v>175.18</c:v>
                </c:pt>
                <c:pt idx="117">
                  <c:v>173</c:v>
                </c:pt>
                <c:pt idx="118">
                  <c:v>170.87</c:v>
                </c:pt>
                <c:pt idx="119">
                  <c:v>168.78</c:v>
                </c:pt>
                <c:pt idx="120">
                  <c:v>166.73</c:v>
                </c:pt>
                <c:pt idx="121">
                  <c:v>164.71</c:v>
                </c:pt>
                <c:pt idx="122">
                  <c:v>162.74</c:v>
                </c:pt>
                <c:pt idx="123">
                  <c:v>160.79</c:v>
                </c:pt>
                <c:pt idx="124">
                  <c:v>158.88999999999999</c:v>
                </c:pt>
                <c:pt idx="125">
                  <c:v>157.01</c:v>
                </c:pt>
                <c:pt idx="126">
                  <c:v>155.18</c:v>
                </c:pt>
                <c:pt idx="127">
                  <c:v>153.37</c:v>
                </c:pt>
                <c:pt idx="128">
                  <c:v>151.59</c:v>
                </c:pt>
                <c:pt idx="129">
                  <c:v>150</c:v>
                </c:pt>
                <c:pt idx="130">
                  <c:v>150</c:v>
                </c:pt>
                <c:pt idx="131">
                  <c:v>150</c:v>
                </c:pt>
                <c:pt idx="132">
                  <c:v>150</c:v>
                </c:pt>
                <c:pt idx="133">
                  <c:v>150</c:v>
                </c:pt>
                <c:pt idx="134">
                  <c:v>150</c:v>
                </c:pt>
                <c:pt idx="135">
                  <c:v>150</c:v>
                </c:pt>
                <c:pt idx="136">
                  <c:v>150</c:v>
                </c:pt>
                <c:pt idx="137">
                  <c:v>150</c:v>
                </c:pt>
                <c:pt idx="138">
                  <c:v>150</c:v>
                </c:pt>
                <c:pt idx="139">
                  <c:v>150</c:v>
                </c:pt>
                <c:pt idx="140">
                  <c:v>150</c:v>
                </c:pt>
              </c:numCache>
            </c:numRef>
          </c:yVal>
          <c:smooth val="1"/>
        </c:ser>
        <c:ser>
          <c:idx val="4"/>
          <c:order val="2"/>
          <c:tx>
            <c:v>2+ Major &amp; 1 Minor</c:v>
          </c:tx>
          <c:spPr>
            <a:ln w="12700">
              <a:solidFill>
                <a:srgbClr val="00B050"/>
              </a:solidFill>
              <a:prstDash val="sysDash"/>
            </a:ln>
          </c:spPr>
          <c:marker>
            <c:symbol val="none"/>
          </c:marker>
          <c:xVal>
            <c:numRef>
              <c:f>W3Calc!$P$5:$P$145</c:f>
              <c:numCache>
                <c:formatCode>0</c:formatCode>
                <c:ptCount val="141"/>
                <c:pt idx="0">
                  <c:v>400</c:v>
                </c:pt>
                <c:pt idx="1">
                  <c:v>410</c:v>
                </c:pt>
                <c:pt idx="2">
                  <c:v>420</c:v>
                </c:pt>
                <c:pt idx="3">
                  <c:v>430</c:v>
                </c:pt>
                <c:pt idx="4">
                  <c:v>440</c:v>
                </c:pt>
                <c:pt idx="5">
                  <c:v>450</c:v>
                </c:pt>
                <c:pt idx="6">
                  <c:v>460</c:v>
                </c:pt>
                <c:pt idx="7">
                  <c:v>470</c:v>
                </c:pt>
                <c:pt idx="8">
                  <c:v>480</c:v>
                </c:pt>
                <c:pt idx="9">
                  <c:v>490</c:v>
                </c:pt>
                <c:pt idx="10">
                  <c:v>500</c:v>
                </c:pt>
                <c:pt idx="11">
                  <c:v>510</c:v>
                </c:pt>
                <c:pt idx="12">
                  <c:v>520</c:v>
                </c:pt>
                <c:pt idx="13">
                  <c:v>530</c:v>
                </c:pt>
                <c:pt idx="14">
                  <c:v>540</c:v>
                </c:pt>
                <c:pt idx="15">
                  <c:v>550</c:v>
                </c:pt>
                <c:pt idx="16">
                  <c:v>560</c:v>
                </c:pt>
                <c:pt idx="17">
                  <c:v>570</c:v>
                </c:pt>
                <c:pt idx="18">
                  <c:v>580</c:v>
                </c:pt>
                <c:pt idx="19">
                  <c:v>590</c:v>
                </c:pt>
                <c:pt idx="20">
                  <c:v>600</c:v>
                </c:pt>
                <c:pt idx="21">
                  <c:v>610</c:v>
                </c:pt>
                <c:pt idx="22">
                  <c:v>620</c:v>
                </c:pt>
                <c:pt idx="23">
                  <c:v>630</c:v>
                </c:pt>
                <c:pt idx="24">
                  <c:v>640</c:v>
                </c:pt>
                <c:pt idx="25">
                  <c:v>650</c:v>
                </c:pt>
                <c:pt idx="26">
                  <c:v>660</c:v>
                </c:pt>
                <c:pt idx="27">
                  <c:v>670</c:v>
                </c:pt>
                <c:pt idx="28">
                  <c:v>680</c:v>
                </c:pt>
                <c:pt idx="29">
                  <c:v>690</c:v>
                </c:pt>
                <c:pt idx="30">
                  <c:v>700</c:v>
                </c:pt>
                <c:pt idx="31">
                  <c:v>710</c:v>
                </c:pt>
                <c:pt idx="32">
                  <c:v>720</c:v>
                </c:pt>
                <c:pt idx="33">
                  <c:v>730</c:v>
                </c:pt>
                <c:pt idx="34">
                  <c:v>740</c:v>
                </c:pt>
                <c:pt idx="35">
                  <c:v>750</c:v>
                </c:pt>
                <c:pt idx="36">
                  <c:v>760</c:v>
                </c:pt>
                <c:pt idx="37">
                  <c:v>770</c:v>
                </c:pt>
                <c:pt idx="38">
                  <c:v>780</c:v>
                </c:pt>
                <c:pt idx="39">
                  <c:v>790</c:v>
                </c:pt>
                <c:pt idx="40">
                  <c:v>800</c:v>
                </c:pt>
                <c:pt idx="41">
                  <c:v>810</c:v>
                </c:pt>
                <c:pt idx="42">
                  <c:v>820</c:v>
                </c:pt>
                <c:pt idx="43">
                  <c:v>830</c:v>
                </c:pt>
                <c:pt idx="44">
                  <c:v>840</c:v>
                </c:pt>
                <c:pt idx="45">
                  <c:v>850</c:v>
                </c:pt>
                <c:pt idx="46">
                  <c:v>860</c:v>
                </c:pt>
                <c:pt idx="47">
                  <c:v>870</c:v>
                </c:pt>
                <c:pt idx="48">
                  <c:v>880</c:v>
                </c:pt>
                <c:pt idx="49">
                  <c:v>890</c:v>
                </c:pt>
                <c:pt idx="50">
                  <c:v>900</c:v>
                </c:pt>
                <c:pt idx="51">
                  <c:v>910</c:v>
                </c:pt>
                <c:pt idx="52">
                  <c:v>920</c:v>
                </c:pt>
                <c:pt idx="53">
                  <c:v>930</c:v>
                </c:pt>
                <c:pt idx="54">
                  <c:v>940</c:v>
                </c:pt>
                <c:pt idx="55">
                  <c:v>950</c:v>
                </c:pt>
                <c:pt idx="56">
                  <c:v>960</c:v>
                </c:pt>
                <c:pt idx="57">
                  <c:v>970</c:v>
                </c:pt>
                <c:pt idx="58">
                  <c:v>980</c:v>
                </c:pt>
                <c:pt idx="59">
                  <c:v>990</c:v>
                </c:pt>
                <c:pt idx="60">
                  <c:v>1000</c:v>
                </c:pt>
                <c:pt idx="61">
                  <c:v>1010</c:v>
                </c:pt>
                <c:pt idx="62">
                  <c:v>1020</c:v>
                </c:pt>
                <c:pt idx="63">
                  <c:v>1030</c:v>
                </c:pt>
                <c:pt idx="64">
                  <c:v>1040</c:v>
                </c:pt>
                <c:pt idx="65">
                  <c:v>1050</c:v>
                </c:pt>
                <c:pt idx="66">
                  <c:v>1060</c:v>
                </c:pt>
                <c:pt idx="67">
                  <c:v>1070</c:v>
                </c:pt>
                <c:pt idx="68">
                  <c:v>1080</c:v>
                </c:pt>
                <c:pt idx="69">
                  <c:v>1090</c:v>
                </c:pt>
                <c:pt idx="70">
                  <c:v>1100</c:v>
                </c:pt>
                <c:pt idx="71">
                  <c:v>1110</c:v>
                </c:pt>
                <c:pt idx="72">
                  <c:v>1120</c:v>
                </c:pt>
                <c:pt idx="73">
                  <c:v>1130</c:v>
                </c:pt>
                <c:pt idx="74">
                  <c:v>1140</c:v>
                </c:pt>
                <c:pt idx="75">
                  <c:v>1150</c:v>
                </c:pt>
                <c:pt idx="76">
                  <c:v>1160</c:v>
                </c:pt>
                <c:pt idx="77">
                  <c:v>1170</c:v>
                </c:pt>
                <c:pt idx="78">
                  <c:v>1180</c:v>
                </c:pt>
                <c:pt idx="79">
                  <c:v>1190</c:v>
                </c:pt>
                <c:pt idx="80">
                  <c:v>1200</c:v>
                </c:pt>
                <c:pt idx="81">
                  <c:v>1210</c:v>
                </c:pt>
                <c:pt idx="82">
                  <c:v>1220</c:v>
                </c:pt>
                <c:pt idx="83">
                  <c:v>1230</c:v>
                </c:pt>
                <c:pt idx="84">
                  <c:v>1240</c:v>
                </c:pt>
                <c:pt idx="85">
                  <c:v>1250</c:v>
                </c:pt>
                <c:pt idx="86">
                  <c:v>1260</c:v>
                </c:pt>
                <c:pt idx="87">
                  <c:v>1270</c:v>
                </c:pt>
                <c:pt idx="88">
                  <c:v>1280</c:v>
                </c:pt>
                <c:pt idx="89">
                  <c:v>1290</c:v>
                </c:pt>
                <c:pt idx="90">
                  <c:v>1300</c:v>
                </c:pt>
                <c:pt idx="91">
                  <c:v>1310</c:v>
                </c:pt>
                <c:pt idx="92">
                  <c:v>1320</c:v>
                </c:pt>
                <c:pt idx="93">
                  <c:v>1330</c:v>
                </c:pt>
                <c:pt idx="94">
                  <c:v>1340</c:v>
                </c:pt>
                <c:pt idx="95">
                  <c:v>1350</c:v>
                </c:pt>
                <c:pt idx="96">
                  <c:v>1360</c:v>
                </c:pt>
                <c:pt idx="97">
                  <c:v>1370</c:v>
                </c:pt>
                <c:pt idx="98">
                  <c:v>1380</c:v>
                </c:pt>
                <c:pt idx="99">
                  <c:v>1390</c:v>
                </c:pt>
                <c:pt idx="100">
                  <c:v>1400</c:v>
                </c:pt>
                <c:pt idx="101">
                  <c:v>1410</c:v>
                </c:pt>
                <c:pt idx="102">
                  <c:v>1420</c:v>
                </c:pt>
                <c:pt idx="103">
                  <c:v>1430</c:v>
                </c:pt>
                <c:pt idx="104">
                  <c:v>1440</c:v>
                </c:pt>
                <c:pt idx="105">
                  <c:v>1450</c:v>
                </c:pt>
                <c:pt idx="106">
                  <c:v>1460</c:v>
                </c:pt>
                <c:pt idx="107">
                  <c:v>1470</c:v>
                </c:pt>
                <c:pt idx="108">
                  <c:v>1480</c:v>
                </c:pt>
                <c:pt idx="109">
                  <c:v>1490</c:v>
                </c:pt>
                <c:pt idx="110">
                  <c:v>1500</c:v>
                </c:pt>
                <c:pt idx="111">
                  <c:v>1510</c:v>
                </c:pt>
                <c:pt idx="112">
                  <c:v>1520</c:v>
                </c:pt>
                <c:pt idx="113">
                  <c:v>1530</c:v>
                </c:pt>
                <c:pt idx="114">
                  <c:v>1540</c:v>
                </c:pt>
                <c:pt idx="115">
                  <c:v>1550</c:v>
                </c:pt>
                <c:pt idx="116">
                  <c:v>1560</c:v>
                </c:pt>
                <c:pt idx="117">
                  <c:v>1570</c:v>
                </c:pt>
                <c:pt idx="118">
                  <c:v>1580</c:v>
                </c:pt>
                <c:pt idx="119">
                  <c:v>1590</c:v>
                </c:pt>
                <c:pt idx="120">
                  <c:v>1600</c:v>
                </c:pt>
                <c:pt idx="121">
                  <c:v>1610</c:v>
                </c:pt>
                <c:pt idx="122">
                  <c:v>1620</c:v>
                </c:pt>
                <c:pt idx="123">
                  <c:v>1630</c:v>
                </c:pt>
                <c:pt idx="124">
                  <c:v>1640</c:v>
                </c:pt>
                <c:pt idx="125">
                  <c:v>1650</c:v>
                </c:pt>
                <c:pt idx="126">
                  <c:v>1660</c:v>
                </c:pt>
                <c:pt idx="127">
                  <c:v>1670</c:v>
                </c:pt>
                <c:pt idx="128">
                  <c:v>1680</c:v>
                </c:pt>
                <c:pt idx="129">
                  <c:v>1690</c:v>
                </c:pt>
                <c:pt idx="130">
                  <c:v>1700</c:v>
                </c:pt>
                <c:pt idx="131">
                  <c:v>1710</c:v>
                </c:pt>
                <c:pt idx="132">
                  <c:v>1720</c:v>
                </c:pt>
                <c:pt idx="133">
                  <c:v>1730</c:v>
                </c:pt>
                <c:pt idx="134">
                  <c:v>1740</c:v>
                </c:pt>
                <c:pt idx="135">
                  <c:v>1750</c:v>
                </c:pt>
                <c:pt idx="136">
                  <c:v>1760</c:v>
                </c:pt>
                <c:pt idx="137">
                  <c:v>1770</c:v>
                </c:pt>
                <c:pt idx="138">
                  <c:v>1780</c:v>
                </c:pt>
                <c:pt idx="139">
                  <c:v>1790</c:v>
                </c:pt>
                <c:pt idx="140">
                  <c:v>1800</c:v>
                </c:pt>
              </c:numCache>
            </c:numRef>
          </c:xVal>
          <c:yVal>
            <c:numRef>
              <c:f>W3Calc!$R$5:$R$145</c:f>
              <c:numCache>
                <c:formatCode>0.00</c:formatCode>
                <c:ptCount val="141"/>
                <c:pt idx="11">
                  <c:v>514.57000000000005</c:v>
                </c:pt>
                <c:pt idx="12">
                  <c:v>509.23</c:v>
                </c:pt>
                <c:pt idx="13">
                  <c:v>503.91</c:v>
                </c:pt>
                <c:pt idx="14">
                  <c:v>498.61</c:v>
                </c:pt>
                <c:pt idx="15">
                  <c:v>493.34</c:v>
                </c:pt>
                <c:pt idx="16">
                  <c:v>488.08</c:v>
                </c:pt>
                <c:pt idx="17">
                  <c:v>482.85</c:v>
                </c:pt>
                <c:pt idx="18">
                  <c:v>477.64</c:v>
                </c:pt>
                <c:pt idx="19">
                  <c:v>472.46</c:v>
                </c:pt>
                <c:pt idx="20">
                  <c:v>467.3</c:v>
                </c:pt>
                <c:pt idx="21">
                  <c:v>462.16</c:v>
                </c:pt>
                <c:pt idx="22">
                  <c:v>457.05</c:v>
                </c:pt>
                <c:pt idx="23">
                  <c:v>451.97</c:v>
                </c:pt>
                <c:pt idx="24">
                  <c:v>446.91</c:v>
                </c:pt>
                <c:pt idx="25">
                  <c:v>441.88</c:v>
                </c:pt>
                <c:pt idx="26">
                  <c:v>436.88</c:v>
                </c:pt>
                <c:pt idx="27">
                  <c:v>431.9</c:v>
                </c:pt>
                <c:pt idx="28">
                  <c:v>426.96</c:v>
                </c:pt>
                <c:pt idx="29">
                  <c:v>422.04</c:v>
                </c:pt>
                <c:pt idx="30">
                  <c:v>417.15</c:v>
                </c:pt>
                <c:pt idx="31">
                  <c:v>412.3</c:v>
                </c:pt>
                <c:pt idx="32">
                  <c:v>407.47</c:v>
                </c:pt>
                <c:pt idx="33">
                  <c:v>402.67</c:v>
                </c:pt>
                <c:pt idx="34">
                  <c:v>397.91</c:v>
                </c:pt>
                <c:pt idx="35">
                  <c:v>393.18</c:v>
                </c:pt>
                <c:pt idx="36">
                  <c:v>388.47</c:v>
                </c:pt>
                <c:pt idx="37">
                  <c:v>383.81</c:v>
                </c:pt>
                <c:pt idx="38">
                  <c:v>379.17</c:v>
                </c:pt>
                <c:pt idx="39">
                  <c:v>374.57</c:v>
                </c:pt>
                <c:pt idx="40">
                  <c:v>370</c:v>
                </c:pt>
                <c:pt idx="41">
                  <c:v>365.46</c:v>
                </c:pt>
                <c:pt idx="42">
                  <c:v>360.96</c:v>
                </c:pt>
                <c:pt idx="43">
                  <c:v>356.49</c:v>
                </c:pt>
                <c:pt idx="44">
                  <c:v>352.06</c:v>
                </c:pt>
                <c:pt idx="45">
                  <c:v>347.67</c:v>
                </c:pt>
                <c:pt idx="46">
                  <c:v>343.3</c:v>
                </c:pt>
                <c:pt idx="47">
                  <c:v>338.98</c:v>
                </c:pt>
                <c:pt idx="48">
                  <c:v>334.69</c:v>
                </c:pt>
                <c:pt idx="49">
                  <c:v>330.43</c:v>
                </c:pt>
                <c:pt idx="50">
                  <c:v>326.22000000000003</c:v>
                </c:pt>
                <c:pt idx="51">
                  <c:v>322.04000000000002</c:v>
                </c:pt>
                <c:pt idx="52">
                  <c:v>317.89</c:v>
                </c:pt>
                <c:pt idx="53">
                  <c:v>313.77999999999997</c:v>
                </c:pt>
                <c:pt idx="54">
                  <c:v>309.70999999999998</c:v>
                </c:pt>
                <c:pt idx="55">
                  <c:v>305.68</c:v>
                </c:pt>
                <c:pt idx="56">
                  <c:v>301.69</c:v>
                </c:pt>
                <c:pt idx="57">
                  <c:v>297.73</c:v>
                </c:pt>
                <c:pt idx="58">
                  <c:v>293.81</c:v>
                </c:pt>
                <c:pt idx="59">
                  <c:v>289.93</c:v>
                </c:pt>
                <c:pt idx="60">
                  <c:v>286.08999999999997</c:v>
                </c:pt>
                <c:pt idx="61">
                  <c:v>282.27999999999997</c:v>
                </c:pt>
                <c:pt idx="62">
                  <c:v>278.52</c:v>
                </c:pt>
                <c:pt idx="63">
                  <c:v>274.79000000000002</c:v>
                </c:pt>
                <c:pt idx="64">
                  <c:v>271.10000000000002</c:v>
                </c:pt>
                <c:pt idx="65">
                  <c:v>267.45</c:v>
                </c:pt>
                <c:pt idx="66">
                  <c:v>263.83999999999997</c:v>
                </c:pt>
                <c:pt idx="67">
                  <c:v>260.27</c:v>
                </c:pt>
                <c:pt idx="68">
                  <c:v>256.73</c:v>
                </c:pt>
                <c:pt idx="69">
                  <c:v>253.24</c:v>
                </c:pt>
                <c:pt idx="70">
                  <c:v>249.78</c:v>
                </c:pt>
                <c:pt idx="71">
                  <c:v>246.37</c:v>
                </c:pt>
                <c:pt idx="72">
                  <c:v>242.99</c:v>
                </c:pt>
                <c:pt idx="73">
                  <c:v>239.65</c:v>
                </c:pt>
                <c:pt idx="74">
                  <c:v>236.35</c:v>
                </c:pt>
                <c:pt idx="75">
                  <c:v>233.09</c:v>
                </c:pt>
                <c:pt idx="76">
                  <c:v>229.87</c:v>
                </c:pt>
                <c:pt idx="77">
                  <c:v>226.69</c:v>
                </c:pt>
                <c:pt idx="78">
                  <c:v>223.54</c:v>
                </c:pt>
                <c:pt idx="79">
                  <c:v>220.44</c:v>
                </c:pt>
                <c:pt idx="80">
                  <c:v>217.37</c:v>
                </c:pt>
                <c:pt idx="81">
                  <c:v>214.34</c:v>
                </c:pt>
                <c:pt idx="82">
                  <c:v>211.35</c:v>
                </c:pt>
                <c:pt idx="83">
                  <c:v>208.4</c:v>
                </c:pt>
                <c:pt idx="84">
                  <c:v>205.49</c:v>
                </c:pt>
                <c:pt idx="85">
                  <c:v>202.61</c:v>
                </c:pt>
                <c:pt idx="86">
                  <c:v>199.78</c:v>
                </c:pt>
                <c:pt idx="87">
                  <c:v>196.98</c:v>
                </c:pt>
                <c:pt idx="88">
                  <c:v>194.22</c:v>
                </c:pt>
                <c:pt idx="89">
                  <c:v>191.49</c:v>
                </c:pt>
                <c:pt idx="90">
                  <c:v>188.8</c:v>
                </c:pt>
                <c:pt idx="91">
                  <c:v>186.15</c:v>
                </c:pt>
                <c:pt idx="92">
                  <c:v>183.54</c:v>
                </c:pt>
                <c:pt idx="93">
                  <c:v>180.96</c:v>
                </c:pt>
                <c:pt idx="94">
                  <c:v>178.42</c:v>
                </c:pt>
                <c:pt idx="95">
                  <c:v>175.92</c:v>
                </c:pt>
                <c:pt idx="96">
                  <c:v>173.45</c:v>
                </c:pt>
                <c:pt idx="97">
                  <c:v>171.02</c:v>
                </c:pt>
                <c:pt idx="98">
                  <c:v>168.62</c:v>
                </c:pt>
                <c:pt idx="99">
                  <c:v>166.26</c:v>
                </c:pt>
                <c:pt idx="100">
                  <c:v>163.93</c:v>
                </c:pt>
                <c:pt idx="101">
                  <c:v>161.63999999999999</c:v>
                </c:pt>
                <c:pt idx="102">
                  <c:v>159.38</c:v>
                </c:pt>
                <c:pt idx="103">
                  <c:v>157.16</c:v>
                </c:pt>
                <c:pt idx="104">
                  <c:v>154.97</c:v>
                </c:pt>
                <c:pt idx="105">
                  <c:v>152.81</c:v>
                </c:pt>
                <c:pt idx="106">
                  <c:v>150.68</c:v>
                </c:pt>
                <c:pt idx="107">
                  <c:v>148.59</c:v>
                </c:pt>
                <c:pt idx="108">
                  <c:v>146.53</c:v>
                </c:pt>
                <c:pt idx="109">
                  <c:v>144.5</c:v>
                </c:pt>
                <c:pt idx="110">
                  <c:v>142.5</c:v>
                </c:pt>
                <c:pt idx="111">
                  <c:v>140.53</c:v>
                </c:pt>
                <c:pt idx="112">
                  <c:v>138.6</c:v>
                </c:pt>
                <c:pt idx="113">
                  <c:v>136.69</c:v>
                </c:pt>
                <c:pt idx="114">
                  <c:v>134.81</c:v>
                </c:pt>
                <c:pt idx="115">
                  <c:v>132.97</c:v>
                </c:pt>
                <c:pt idx="116">
                  <c:v>131.15</c:v>
                </c:pt>
                <c:pt idx="117">
                  <c:v>129.35</c:v>
                </c:pt>
                <c:pt idx="118">
                  <c:v>127.59</c:v>
                </c:pt>
                <c:pt idx="119">
                  <c:v>125.85</c:v>
                </c:pt>
                <c:pt idx="120">
                  <c:v>124.14</c:v>
                </c:pt>
                <c:pt idx="121">
                  <c:v>122.46</c:v>
                </c:pt>
                <c:pt idx="122">
                  <c:v>120.8</c:v>
                </c:pt>
                <c:pt idx="123">
                  <c:v>119.17</c:v>
                </c:pt>
                <c:pt idx="124">
                  <c:v>117.56</c:v>
                </c:pt>
                <c:pt idx="125">
                  <c:v>115.97</c:v>
                </c:pt>
                <c:pt idx="126">
                  <c:v>114.41</c:v>
                </c:pt>
                <c:pt idx="127">
                  <c:v>112.87</c:v>
                </c:pt>
                <c:pt idx="128">
                  <c:v>111.35</c:v>
                </c:pt>
                <c:pt idx="129">
                  <c:v>109.86</c:v>
                </c:pt>
                <c:pt idx="130">
                  <c:v>108.38</c:v>
                </c:pt>
                <c:pt idx="131">
                  <c:v>106.93</c:v>
                </c:pt>
                <c:pt idx="132">
                  <c:v>105.49</c:v>
                </c:pt>
                <c:pt idx="133">
                  <c:v>104.08</c:v>
                </c:pt>
                <c:pt idx="134">
                  <c:v>102.68</c:v>
                </c:pt>
                <c:pt idx="135">
                  <c:v>101.3</c:v>
                </c:pt>
                <c:pt idx="136">
                  <c:v>100</c:v>
                </c:pt>
                <c:pt idx="137">
                  <c:v>100</c:v>
                </c:pt>
                <c:pt idx="138">
                  <c:v>100</c:v>
                </c:pt>
                <c:pt idx="139">
                  <c:v>100</c:v>
                </c:pt>
                <c:pt idx="140">
                  <c:v>100</c:v>
                </c:pt>
              </c:numCache>
            </c:numRef>
          </c:yVal>
          <c:smooth val="1"/>
        </c:ser>
        <c:ser>
          <c:idx val="5"/>
          <c:order val="3"/>
          <c:tx>
            <c:v>1 Major &amp; 2+ Minor</c:v>
          </c:tx>
          <c:spPr>
            <a:ln w="12700">
              <a:solidFill>
                <a:srgbClr val="C00000"/>
              </a:solidFill>
              <a:prstDash val="sysDash"/>
            </a:ln>
          </c:spPr>
          <c:marker>
            <c:symbol val="none"/>
          </c:marker>
          <c:xVal>
            <c:numRef>
              <c:f>W3Calc!$P$5:$P$145</c:f>
              <c:numCache>
                <c:formatCode>0</c:formatCode>
                <c:ptCount val="141"/>
                <c:pt idx="0">
                  <c:v>400</c:v>
                </c:pt>
                <c:pt idx="1">
                  <c:v>410</c:v>
                </c:pt>
                <c:pt idx="2">
                  <c:v>420</c:v>
                </c:pt>
                <c:pt idx="3">
                  <c:v>430</c:v>
                </c:pt>
                <c:pt idx="4">
                  <c:v>440</c:v>
                </c:pt>
                <c:pt idx="5">
                  <c:v>450</c:v>
                </c:pt>
                <c:pt idx="6">
                  <c:v>460</c:v>
                </c:pt>
                <c:pt idx="7">
                  <c:v>470</c:v>
                </c:pt>
                <c:pt idx="8">
                  <c:v>480</c:v>
                </c:pt>
                <c:pt idx="9">
                  <c:v>490</c:v>
                </c:pt>
                <c:pt idx="10">
                  <c:v>500</c:v>
                </c:pt>
                <c:pt idx="11">
                  <c:v>510</c:v>
                </c:pt>
                <c:pt idx="12">
                  <c:v>520</c:v>
                </c:pt>
                <c:pt idx="13">
                  <c:v>530</c:v>
                </c:pt>
                <c:pt idx="14">
                  <c:v>540</c:v>
                </c:pt>
                <c:pt idx="15">
                  <c:v>550</c:v>
                </c:pt>
                <c:pt idx="16">
                  <c:v>560</c:v>
                </c:pt>
                <c:pt idx="17">
                  <c:v>570</c:v>
                </c:pt>
                <c:pt idx="18">
                  <c:v>580</c:v>
                </c:pt>
                <c:pt idx="19">
                  <c:v>590</c:v>
                </c:pt>
                <c:pt idx="20">
                  <c:v>600</c:v>
                </c:pt>
                <c:pt idx="21">
                  <c:v>610</c:v>
                </c:pt>
                <c:pt idx="22">
                  <c:v>620</c:v>
                </c:pt>
                <c:pt idx="23">
                  <c:v>630</c:v>
                </c:pt>
                <c:pt idx="24">
                  <c:v>640</c:v>
                </c:pt>
                <c:pt idx="25">
                  <c:v>650</c:v>
                </c:pt>
                <c:pt idx="26">
                  <c:v>660</c:v>
                </c:pt>
                <c:pt idx="27">
                  <c:v>670</c:v>
                </c:pt>
                <c:pt idx="28">
                  <c:v>680</c:v>
                </c:pt>
                <c:pt idx="29">
                  <c:v>690</c:v>
                </c:pt>
                <c:pt idx="30">
                  <c:v>700</c:v>
                </c:pt>
                <c:pt idx="31">
                  <c:v>710</c:v>
                </c:pt>
                <c:pt idx="32">
                  <c:v>720</c:v>
                </c:pt>
                <c:pt idx="33">
                  <c:v>730</c:v>
                </c:pt>
                <c:pt idx="34">
                  <c:v>740</c:v>
                </c:pt>
                <c:pt idx="35">
                  <c:v>750</c:v>
                </c:pt>
                <c:pt idx="36">
                  <c:v>760</c:v>
                </c:pt>
                <c:pt idx="37">
                  <c:v>770</c:v>
                </c:pt>
                <c:pt idx="38">
                  <c:v>780</c:v>
                </c:pt>
                <c:pt idx="39">
                  <c:v>790</c:v>
                </c:pt>
                <c:pt idx="40">
                  <c:v>800</c:v>
                </c:pt>
                <c:pt idx="41">
                  <c:v>810</c:v>
                </c:pt>
                <c:pt idx="42">
                  <c:v>820</c:v>
                </c:pt>
                <c:pt idx="43">
                  <c:v>830</c:v>
                </c:pt>
                <c:pt idx="44">
                  <c:v>840</c:v>
                </c:pt>
                <c:pt idx="45">
                  <c:v>850</c:v>
                </c:pt>
                <c:pt idx="46">
                  <c:v>860</c:v>
                </c:pt>
                <c:pt idx="47">
                  <c:v>870</c:v>
                </c:pt>
                <c:pt idx="48">
                  <c:v>880</c:v>
                </c:pt>
                <c:pt idx="49">
                  <c:v>890</c:v>
                </c:pt>
                <c:pt idx="50">
                  <c:v>900</c:v>
                </c:pt>
                <c:pt idx="51">
                  <c:v>910</c:v>
                </c:pt>
                <c:pt idx="52">
                  <c:v>920</c:v>
                </c:pt>
                <c:pt idx="53">
                  <c:v>930</c:v>
                </c:pt>
                <c:pt idx="54">
                  <c:v>940</c:v>
                </c:pt>
                <c:pt idx="55">
                  <c:v>950</c:v>
                </c:pt>
                <c:pt idx="56">
                  <c:v>960</c:v>
                </c:pt>
                <c:pt idx="57">
                  <c:v>970</c:v>
                </c:pt>
                <c:pt idx="58">
                  <c:v>980</c:v>
                </c:pt>
                <c:pt idx="59">
                  <c:v>990</c:v>
                </c:pt>
                <c:pt idx="60">
                  <c:v>1000</c:v>
                </c:pt>
                <c:pt idx="61">
                  <c:v>1010</c:v>
                </c:pt>
                <c:pt idx="62">
                  <c:v>1020</c:v>
                </c:pt>
                <c:pt idx="63">
                  <c:v>1030</c:v>
                </c:pt>
                <c:pt idx="64">
                  <c:v>1040</c:v>
                </c:pt>
                <c:pt idx="65">
                  <c:v>1050</c:v>
                </c:pt>
                <c:pt idx="66">
                  <c:v>1060</c:v>
                </c:pt>
                <c:pt idx="67">
                  <c:v>1070</c:v>
                </c:pt>
                <c:pt idx="68">
                  <c:v>1080</c:v>
                </c:pt>
                <c:pt idx="69">
                  <c:v>1090</c:v>
                </c:pt>
                <c:pt idx="70">
                  <c:v>1100</c:v>
                </c:pt>
                <c:pt idx="71">
                  <c:v>1110</c:v>
                </c:pt>
                <c:pt idx="72">
                  <c:v>1120</c:v>
                </c:pt>
                <c:pt idx="73">
                  <c:v>1130</c:v>
                </c:pt>
                <c:pt idx="74">
                  <c:v>1140</c:v>
                </c:pt>
                <c:pt idx="75">
                  <c:v>1150</c:v>
                </c:pt>
                <c:pt idx="76">
                  <c:v>1160</c:v>
                </c:pt>
                <c:pt idx="77">
                  <c:v>1170</c:v>
                </c:pt>
                <c:pt idx="78">
                  <c:v>1180</c:v>
                </c:pt>
                <c:pt idx="79">
                  <c:v>1190</c:v>
                </c:pt>
                <c:pt idx="80">
                  <c:v>1200</c:v>
                </c:pt>
                <c:pt idx="81">
                  <c:v>1210</c:v>
                </c:pt>
                <c:pt idx="82">
                  <c:v>1220</c:v>
                </c:pt>
                <c:pt idx="83">
                  <c:v>1230</c:v>
                </c:pt>
                <c:pt idx="84">
                  <c:v>1240</c:v>
                </c:pt>
                <c:pt idx="85">
                  <c:v>1250</c:v>
                </c:pt>
                <c:pt idx="86">
                  <c:v>1260</c:v>
                </c:pt>
                <c:pt idx="87">
                  <c:v>1270</c:v>
                </c:pt>
                <c:pt idx="88">
                  <c:v>1280</c:v>
                </c:pt>
                <c:pt idx="89">
                  <c:v>1290</c:v>
                </c:pt>
                <c:pt idx="90">
                  <c:v>1300</c:v>
                </c:pt>
                <c:pt idx="91">
                  <c:v>1310</c:v>
                </c:pt>
                <c:pt idx="92">
                  <c:v>1320</c:v>
                </c:pt>
                <c:pt idx="93">
                  <c:v>1330</c:v>
                </c:pt>
                <c:pt idx="94">
                  <c:v>1340</c:v>
                </c:pt>
                <c:pt idx="95">
                  <c:v>1350</c:v>
                </c:pt>
                <c:pt idx="96">
                  <c:v>1360</c:v>
                </c:pt>
                <c:pt idx="97">
                  <c:v>1370</c:v>
                </c:pt>
                <c:pt idx="98">
                  <c:v>1380</c:v>
                </c:pt>
                <c:pt idx="99">
                  <c:v>1390</c:v>
                </c:pt>
                <c:pt idx="100">
                  <c:v>1400</c:v>
                </c:pt>
                <c:pt idx="101">
                  <c:v>1410</c:v>
                </c:pt>
                <c:pt idx="102">
                  <c:v>1420</c:v>
                </c:pt>
                <c:pt idx="103">
                  <c:v>1430</c:v>
                </c:pt>
                <c:pt idx="104">
                  <c:v>1440</c:v>
                </c:pt>
                <c:pt idx="105">
                  <c:v>1450</c:v>
                </c:pt>
                <c:pt idx="106">
                  <c:v>1460</c:v>
                </c:pt>
                <c:pt idx="107">
                  <c:v>1470</c:v>
                </c:pt>
                <c:pt idx="108">
                  <c:v>1480</c:v>
                </c:pt>
                <c:pt idx="109">
                  <c:v>1490</c:v>
                </c:pt>
                <c:pt idx="110">
                  <c:v>1500</c:v>
                </c:pt>
                <c:pt idx="111">
                  <c:v>1510</c:v>
                </c:pt>
                <c:pt idx="112">
                  <c:v>1520</c:v>
                </c:pt>
                <c:pt idx="113">
                  <c:v>1530</c:v>
                </c:pt>
                <c:pt idx="114">
                  <c:v>1540</c:v>
                </c:pt>
                <c:pt idx="115">
                  <c:v>1550</c:v>
                </c:pt>
                <c:pt idx="116">
                  <c:v>1560</c:v>
                </c:pt>
                <c:pt idx="117">
                  <c:v>1570</c:v>
                </c:pt>
                <c:pt idx="118">
                  <c:v>1580</c:v>
                </c:pt>
                <c:pt idx="119">
                  <c:v>1590</c:v>
                </c:pt>
                <c:pt idx="120">
                  <c:v>1600</c:v>
                </c:pt>
                <c:pt idx="121">
                  <c:v>1610</c:v>
                </c:pt>
                <c:pt idx="122">
                  <c:v>1620</c:v>
                </c:pt>
                <c:pt idx="123">
                  <c:v>1630</c:v>
                </c:pt>
                <c:pt idx="124">
                  <c:v>1640</c:v>
                </c:pt>
                <c:pt idx="125">
                  <c:v>1650</c:v>
                </c:pt>
                <c:pt idx="126">
                  <c:v>1660</c:v>
                </c:pt>
                <c:pt idx="127">
                  <c:v>1670</c:v>
                </c:pt>
                <c:pt idx="128">
                  <c:v>1680</c:v>
                </c:pt>
                <c:pt idx="129">
                  <c:v>1690</c:v>
                </c:pt>
                <c:pt idx="130">
                  <c:v>1700</c:v>
                </c:pt>
                <c:pt idx="131">
                  <c:v>1710</c:v>
                </c:pt>
                <c:pt idx="132">
                  <c:v>1720</c:v>
                </c:pt>
                <c:pt idx="133">
                  <c:v>1730</c:v>
                </c:pt>
                <c:pt idx="134">
                  <c:v>1740</c:v>
                </c:pt>
                <c:pt idx="135">
                  <c:v>1750</c:v>
                </c:pt>
                <c:pt idx="136">
                  <c:v>1760</c:v>
                </c:pt>
                <c:pt idx="137">
                  <c:v>1770</c:v>
                </c:pt>
                <c:pt idx="138">
                  <c:v>1780</c:v>
                </c:pt>
                <c:pt idx="139">
                  <c:v>1790</c:v>
                </c:pt>
                <c:pt idx="140">
                  <c:v>1800</c:v>
                </c:pt>
              </c:numCache>
            </c:numRef>
          </c:xVal>
          <c:yVal>
            <c:numRef>
              <c:f>W3Calc!$S$5:$S$145</c:f>
              <c:numCache>
                <c:formatCode>0.00</c:formatCode>
                <c:ptCount val="141"/>
                <c:pt idx="11">
                  <c:v>514.57000000000005</c:v>
                </c:pt>
                <c:pt idx="12">
                  <c:v>509.23</c:v>
                </c:pt>
                <c:pt idx="13">
                  <c:v>503.91</c:v>
                </c:pt>
                <c:pt idx="14">
                  <c:v>498.61</c:v>
                </c:pt>
                <c:pt idx="15">
                  <c:v>493.34</c:v>
                </c:pt>
                <c:pt idx="16">
                  <c:v>488.08</c:v>
                </c:pt>
                <c:pt idx="17">
                  <c:v>482.85</c:v>
                </c:pt>
                <c:pt idx="18">
                  <c:v>477.64</c:v>
                </c:pt>
                <c:pt idx="19">
                  <c:v>472.46</c:v>
                </c:pt>
                <c:pt idx="20">
                  <c:v>467.3</c:v>
                </c:pt>
                <c:pt idx="21">
                  <c:v>462.16</c:v>
                </c:pt>
                <c:pt idx="22">
                  <c:v>457.05</c:v>
                </c:pt>
                <c:pt idx="23">
                  <c:v>451.97</c:v>
                </c:pt>
                <c:pt idx="24">
                  <c:v>446.91</c:v>
                </c:pt>
                <c:pt idx="25">
                  <c:v>441.88</c:v>
                </c:pt>
                <c:pt idx="26">
                  <c:v>436.88</c:v>
                </c:pt>
                <c:pt idx="27">
                  <c:v>431.9</c:v>
                </c:pt>
                <c:pt idx="28">
                  <c:v>426.96</c:v>
                </c:pt>
                <c:pt idx="29">
                  <c:v>422.04</c:v>
                </c:pt>
                <c:pt idx="30">
                  <c:v>417.15</c:v>
                </c:pt>
                <c:pt idx="31">
                  <c:v>412.3</c:v>
                </c:pt>
                <c:pt idx="32">
                  <c:v>407.47</c:v>
                </c:pt>
                <c:pt idx="33">
                  <c:v>402.67</c:v>
                </c:pt>
                <c:pt idx="34">
                  <c:v>397.91</c:v>
                </c:pt>
                <c:pt idx="35">
                  <c:v>393.18</c:v>
                </c:pt>
                <c:pt idx="36">
                  <c:v>388.47</c:v>
                </c:pt>
                <c:pt idx="37">
                  <c:v>383.81</c:v>
                </c:pt>
                <c:pt idx="38">
                  <c:v>379.17</c:v>
                </c:pt>
                <c:pt idx="39">
                  <c:v>374.57</c:v>
                </c:pt>
                <c:pt idx="40">
                  <c:v>370</c:v>
                </c:pt>
                <c:pt idx="41">
                  <c:v>365.46</c:v>
                </c:pt>
                <c:pt idx="42">
                  <c:v>360.96</c:v>
                </c:pt>
                <c:pt idx="43">
                  <c:v>356.49</c:v>
                </c:pt>
                <c:pt idx="44">
                  <c:v>352.06</c:v>
                </c:pt>
                <c:pt idx="45">
                  <c:v>347.67</c:v>
                </c:pt>
                <c:pt idx="46">
                  <c:v>343.3</c:v>
                </c:pt>
                <c:pt idx="47">
                  <c:v>338.98</c:v>
                </c:pt>
                <c:pt idx="48">
                  <c:v>334.69</c:v>
                </c:pt>
                <c:pt idx="49">
                  <c:v>330.43</c:v>
                </c:pt>
                <c:pt idx="50">
                  <c:v>326.22000000000003</c:v>
                </c:pt>
                <c:pt idx="51">
                  <c:v>322.04000000000002</c:v>
                </c:pt>
                <c:pt idx="52">
                  <c:v>317.89</c:v>
                </c:pt>
                <c:pt idx="53">
                  <c:v>313.77999999999997</c:v>
                </c:pt>
                <c:pt idx="54">
                  <c:v>309.70999999999998</c:v>
                </c:pt>
                <c:pt idx="55">
                  <c:v>305.68</c:v>
                </c:pt>
                <c:pt idx="56">
                  <c:v>301.69</c:v>
                </c:pt>
                <c:pt idx="57">
                  <c:v>297.73</c:v>
                </c:pt>
                <c:pt idx="58">
                  <c:v>293.81</c:v>
                </c:pt>
                <c:pt idx="59">
                  <c:v>289.93</c:v>
                </c:pt>
                <c:pt idx="60">
                  <c:v>286.08999999999997</c:v>
                </c:pt>
                <c:pt idx="61">
                  <c:v>282.27999999999997</c:v>
                </c:pt>
                <c:pt idx="62">
                  <c:v>278.52</c:v>
                </c:pt>
                <c:pt idx="63">
                  <c:v>274.79000000000002</c:v>
                </c:pt>
                <c:pt idx="64">
                  <c:v>271.10000000000002</c:v>
                </c:pt>
                <c:pt idx="65">
                  <c:v>267.45</c:v>
                </c:pt>
                <c:pt idx="66">
                  <c:v>263.83999999999997</c:v>
                </c:pt>
                <c:pt idx="67">
                  <c:v>260.27</c:v>
                </c:pt>
                <c:pt idx="68">
                  <c:v>256.73</c:v>
                </c:pt>
                <c:pt idx="69">
                  <c:v>253.24</c:v>
                </c:pt>
                <c:pt idx="70">
                  <c:v>249.78</c:v>
                </c:pt>
                <c:pt idx="71">
                  <c:v>246.37</c:v>
                </c:pt>
                <c:pt idx="72">
                  <c:v>242.99</c:v>
                </c:pt>
                <c:pt idx="73">
                  <c:v>239.65</c:v>
                </c:pt>
                <c:pt idx="74">
                  <c:v>236.35</c:v>
                </c:pt>
                <c:pt idx="75">
                  <c:v>233.09</c:v>
                </c:pt>
                <c:pt idx="76">
                  <c:v>229.87</c:v>
                </c:pt>
                <c:pt idx="77">
                  <c:v>226.69</c:v>
                </c:pt>
                <c:pt idx="78">
                  <c:v>223.54</c:v>
                </c:pt>
                <c:pt idx="79">
                  <c:v>220.44</c:v>
                </c:pt>
                <c:pt idx="80">
                  <c:v>217.37</c:v>
                </c:pt>
                <c:pt idx="81">
                  <c:v>214.34</c:v>
                </c:pt>
                <c:pt idx="82">
                  <c:v>211.35</c:v>
                </c:pt>
                <c:pt idx="83">
                  <c:v>208.4</c:v>
                </c:pt>
                <c:pt idx="84">
                  <c:v>205.49</c:v>
                </c:pt>
                <c:pt idx="85">
                  <c:v>202.61</c:v>
                </c:pt>
                <c:pt idx="86">
                  <c:v>199.78</c:v>
                </c:pt>
                <c:pt idx="87">
                  <c:v>196.98</c:v>
                </c:pt>
                <c:pt idx="88">
                  <c:v>194.22</c:v>
                </c:pt>
                <c:pt idx="89">
                  <c:v>191.49</c:v>
                </c:pt>
                <c:pt idx="90">
                  <c:v>188.8</c:v>
                </c:pt>
                <c:pt idx="91">
                  <c:v>186.15</c:v>
                </c:pt>
                <c:pt idx="92">
                  <c:v>183.54</c:v>
                </c:pt>
                <c:pt idx="93">
                  <c:v>180.96</c:v>
                </c:pt>
                <c:pt idx="94">
                  <c:v>178.42</c:v>
                </c:pt>
                <c:pt idx="95">
                  <c:v>175.92</c:v>
                </c:pt>
                <c:pt idx="96">
                  <c:v>173.45</c:v>
                </c:pt>
                <c:pt idx="97">
                  <c:v>171.02</c:v>
                </c:pt>
                <c:pt idx="98">
                  <c:v>168.62</c:v>
                </c:pt>
                <c:pt idx="99">
                  <c:v>166.26</c:v>
                </c:pt>
                <c:pt idx="100">
                  <c:v>163.93</c:v>
                </c:pt>
                <c:pt idx="101">
                  <c:v>161.63999999999999</c:v>
                </c:pt>
                <c:pt idx="102">
                  <c:v>159.38</c:v>
                </c:pt>
                <c:pt idx="103">
                  <c:v>157.16</c:v>
                </c:pt>
                <c:pt idx="104">
                  <c:v>154.97</c:v>
                </c:pt>
                <c:pt idx="105">
                  <c:v>152.81</c:v>
                </c:pt>
                <c:pt idx="106">
                  <c:v>150.68</c:v>
                </c:pt>
                <c:pt idx="107">
                  <c:v>150</c:v>
                </c:pt>
                <c:pt idx="108">
                  <c:v>150</c:v>
                </c:pt>
                <c:pt idx="109">
                  <c:v>150</c:v>
                </c:pt>
                <c:pt idx="110">
                  <c:v>150</c:v>
                </c:pt>
                <c:pt idx="111">
                  <c:v>150</c:v>
                </c:pt>
                <c:pt idx="112">
                  <c:v>150</c:v>
                </c:pt>
                <c:pt idx="113">
                  <c:v>150</c:v>
                </c:pt>
                <c:pt idx="114">
                  <c:v>150</c:v>
                </c:pt>
                <c:pt idx="115">
                  <c:v>150</c:v>
                </c:pt>
                <c:pt idx="116">
                  <c:v>150</c:v>
                </c:pt>
                <c:pt idx="117">
                  <c:v>150</c:v>
                </c:pt>
                <c:pt idx="118">
                  <c:v>150</c:v>
                </c:pt>
                <c:pt idx="119">
                  <c:v>150</c:v>
                </c:pt>
                <c:pt idx="120">
                  <c:v>150</c:v>
                </c:pt>
                <c:pt idx="121">
                  <c:v>150</c:v>
                </c:pt>
                <c:pt idx="122">
                  <c:v>150</c:v>
                </c:pt>
                <c:pt idx="123">
                  <c:v>150</c:v>
                </c:pt>
                <c:pt idx="124">
                  <c:v>150</c:v>
                </c:pt>
                <c:pt idx="125">
                  <c:v>150</c:v>
                </c:pt>
                <c:pt idx="126">
                  <c:v>150</c:v>
                </c:pt>
                <c:pt idx="127">
                  <c:v>150</c:v>
                </c:pt>
                <c:pt idx="128">
                  <c:v>150</c:v>
                </c:pt>
                <c:pt idx="129">
                  <c:v>150</c:v>
                </c:pt>
                <c:pt idx="130">
                  <c:v>150</c:v>
                </c:pt>
                <c:pt idx="131">
                  <c:v>150</c:v>
                </c:pt>
                <c:pt idx="132">
                  <c:v>150</c:v>
                </c:pt>
                <c:pt idx="133">
                  <c:v>150</c:v>
                </c:pt>
                <c:pt idx="134">
                  <c:v>150</c:v>
                </c:pt>
                <c:pt idx="135">
                  <c:v>150</c:v>
                </c:pt>
                <c:pt idx="136">
                  <c:v>150</c:v>
                </c:pt>
                <c:pt idx="137">
                  <c:v>150</c:v>
                </c:pt>
                <c:pt idx="138">
                  <c:v>150</c:v>
                </c:pt>
                <c:pt idx="139">
                  <c:v>150</c:v>
                </c:pt>
                <c:pt idx="140">
                  <c:v>150</c:v>
                </c:pt>
              </c:numCache>
            </c:numRef>
          </c:yVal>
          <c:smooth val="1"/>
        </c:ser>
        <c:ser>
          <c:idx val="6"/>
          <c:order val="4"/>
          <c:tx>
            <c:v>1 Major &amp; 1 Minor</c:v>
          </c:tx>
          <c:spPr>
            <a:ln w="12700">
              <a:solidFill>
                <a:srgbClr val="FF66FF"/>
              </a:solidFill>
            </a:ln>
          </c:spPr>
          <c:marker>
            <c:symbol val="none"/>
          </c:marker>
          <c:xVal>
            <c:numRef>
              <c:f>W3Calc!$P$5:$P$145</c:f>
              <c:numCache>
                <c:formatCode>0</c:formatCode>
                <c:ptCount val="141"/>
                <c:pt idx="0">
                  <c:v>400</c:v>
                </c:pt>
                <c:pt idx="1">
                  <c:v>410</c:v>
                </c:pt>
                <c:pt idx="2">
                  <c:v>420</c:v>
                </c:pt>
                <c:pt idx="3">
                  <c:v>430</c:v>
                </c:pt>
                <c:pt idx="4">
                  <c:v>440</c:v>
                </c:pt>
                <c:pt idx="5">
                  <c:v>450</c:v>
                </c:pt>
                <c:pt idx="6">
                  <c:v>460</c:v>
                </c:pt>
                <c:pt idx="7">
                  <c:v>470</c:v>
                </c:pt>
                <c:pt idx="8">
                  <c:v>480</c:v>
                </c:pt>
                <c:pt idx="9">
                  <c:v>490</c:v>
                </c:pt>
                <c:pt idx="10">
                  <c:v>500</c:v>
                </c:pt>
                <c:pt idx="11">
                  <c:v>510</c:v>
                </c:pt>
                <c:pt idx="12">
                  <c:v>520</c:v>
                </c:pt>
                <c:pt idx="13">
                  <c:v>530</c:v>
                </c:pt>
                <c:pt idx="14">
                  <c:v>540</c:v>
                </c:pt>
                <c:pt idx="15">
                  <c:v>550</c:v>
                </c:pt>
                <c:pt idx="16">
                  <c:v>560</c:v>
                </c:pt>
                <c:pt idx="17">
                  <c:v>570</c:v>
                </c:pt>
                <c:pt idx="18">
                  <c:v>580</c:v>
                </c:pt>
                <c:pt idx="19">
                  <c:v>590</c:v>
                </c:pt>
                <c:pt idx="20">
                  <c:v>600</c:v>
                </c:pt>
                <c:pt idx="21">
                  <c:v>610</c:v>
                </c:pt>
                <c:pt idx="22">
                  <c:v>620</c:v>
                </c:pt>
                <c:pt idx="23">
                  <c:v>630</c:v>
                </c:pt>
                <c:pt idx="24">
                  <c:v>640</c:v>
                </c:pt>
                <c:pt idx="25">
                  <c:v>650</c:v>
                </c:pt>
                <c:pt idx="26">
                  <c:v>660</c:v>
                </c:pt>
                <c:pt idx="27">
                  <c:v>670</c:v>
                </c:pt>
                <c:pt idx="28">
                  <c:v>680</c:v>
                </c:pt>
                <c:pt idx="29">
                  <c:v>690</c:v>
                </c:pt>
                <c:pt idx="30">
                  <c:v>700</c:v>
                </c:pt>
                <c:pt idx="31">
                  <c:v>710</c:v>
                </c:pt>
                <c:pt idx="32">
                  <c:v>720</c:v>
                </c:pt>
                <c:pt idx="33">
                  <c:v>730</c:v>
                </c:pt>
                <c:pt idx="34">
                  <c:v>740</c:v>
                </c:pt>
                <c:pt idx="35">
                  <c:v>750</c:v>
                </c:pt>
                <c:pt idx="36">
                  <c:v>760</c:v>
                </c:pt>
                <c:pt idx="37">
                  <c:v>770</c:v>
                </c:pt>
                <c:pt idx="38">
                  <c:v>780</c:v>
                </c:pt>
                <c:pt idx="39">
                  <c:v>790</c:v>
                </c:pt>
                <c:pt idx="40">
                  <c:v>800</c:v>
                </c:pt>
                <c:pt idx="41">
                  <c:v>810</c:v>
                </c:pt>
                <c:pt idx="42">
                  <c:v>820</c:v>
                </c:pt>
                <c:pt idx="43">
                  <c:v>830</c:v>
                </c:pt>
                <c:pt idx="44">
                  <c:v>840</c:v>
                </c:pt>
                <c:pt idx="45">
                  <c:v>850</c:v>
                </c:pt>
                <c:pt idx="46">
                  <c:v>860</c:v>
                </c:pt>
                <c:pt idx="47">
                  <c:v>870</c:v>
                </c:pt>
                <c:pt idx="48">
                  <c:v>880</c:v>
                </c:pt>
                <c:pt idx="49">
                  <c:v>890</c:v>
                </c:pt>
                <c:pt idx="50">
                  <c:v>900</c:v>
                </c:pt>
                <c:pt idx="51">
                  <c:v>910</c:v>
                </c:pt>
                <c:pt idx="52">
                  <c:v>920</c:v>
                </c:pt>
                <c:pt idx="53">
                  <c:v>930</c:v>
                </c:pt>
                <c:pt idx="54">
                  <c:v>940</c:v>
                </c:pt>
                <c:pt idx="55">
                  <c:v>950</c:v>
                </c:pt>
                <c:pt idx="56">
                  <c:v>960</c:v>
                </c:pt>
                <c:pt idx="57">
                  <c:v>970</c:v>
                </c:pt>
                <c:pt idx="58">
                  <c:v>980</c:v>
                </c:pt>
                <c:pt idx="59">
                  <c:v>990</c:v>
                </c:pt>
                <c:pt idx="60">
                  <c:v>1000</c:v>
                </c:pt>
                <c:pt idx="61">
                  <c:v>1010</c:v>
                </c:pt>
                <c:pt idx="62">
                  <c:v>1020</c:v>
                </c:pt>
                <c:pt idx="63">
                  <c:v>1030</c:v>
                </c:pt>
                <c:pt idx="64">
                  <c:v>1040</c:v>
                </c:pt>
                <c:pt idx="65">
                  <c:v>1050</c:v>
                </c:pt>
                <c:pt idx="66">
                  <c:v>1060</c:v>
                </c:pt>
                <c:pt idx="67">
                  <c:v>1070</c:v>
                </c:pt>
                <c:pt idx="68">
                  <c:v>1080</c:v>
                </c:pt>
                <c:pt idx="69">
                  <c:v>1090</c:v>
                </c:pt>
                <c:pt idx="70">
                  <c:v>1100</c:v>
                </c:pt>
                <c:pt idx="71">
                  <c:v>1110</c:v>
                </c:pt>
                <c:pt idx="72">
                  <c:v>1120</c:v>
                </c:pt>
                <c:pt idx="73">
                  <c:v>1130</c:v>
                </c:pt>
                <c:pt idx="74">
                  <c:v>1140</c:v>
                </c:pt>
                <c:pt idx="75">
                  <c:v>1150</c:v>
                </c:pt>
                <c:pt idx="76">
                  <c:v>1160</c:v>
                </c:pt>
                <c:pt idx="77">
                  <c:v>1170</c:v>
                </c:pt>
                <c:pt idx="78">
                  <c:v>1180</c:v>
                </c:pt>
                <c:pt idx="79">
                  <c:v>1190</c:v>
                </c:pt>
                <c:pt idx="80">
                  <c:v>1200</c:v>
                </c:pt>
                <c:pt idx="81">
                  <c:v>1210</c:v>
                </c:pt>
                <c:pt idx="82">
                  <c:v>1220</c:v>
                </c:pt>
                <c:pt idx="83">
                  <c:v>1230</c:v>
                </c:pt>
                <c:pt idx="84">
                  <c:v>1240</c:v>
                </c:pt>
                <c:pt idx="85">
                  <c:v>1250</c:v>
                </c:pt>
                <c:pt idx="86">
                  <c:v>1260</c:v>
                </c:pt>
                <c:pt idx="87">
                  <c:v>1270</c:v>
                </c:pt>
                <c:pt idx="88">
                  <c:v>1280</c:v>
                </c:pt>
                <c:pt idx="89">
                  <c:v>1290</c:v>
                </c:pt>
                <c:pt idx="90">
                  <c:v>1300</c:v>
                </c:pt>
                <c:pt idx="91">
                  <c:v>1310</c:v>
                </c:pt>
                <c:pt idx="92">
                  <c:v>1320</c:v>
                </c:pt>
                <c:pt idx="93">
                  <c:v>1330</c:v>
                </c:pt>
                <c:pt idx="94">
                  <c:v>1340</c:v>
                </c:pt>
                <c:pt idx="95">
                  <c:v>1350</c:v>
                </c:pt>
                <c:pt idx="96">
                  <c:v>1360</c:v>
                </c:pt>
                <c:pt idx="97">
                  <c:v>1370</c:v>
                </c:pt>
                <c:pt idx="98">
                  <c:v>1380</c:v>
                </c:pt>
                <c:pt idx="99">
                  <c:v>1390</c:v>
                </c:pt>
                <c:pt idx="100">
                  <c:v>1400</c:v>
                </c:pt>
                <c:pt idx="101">
                  <c:v>1410</c:v>
                </c:pt>
                <c:pt idx="102">
                  <c:v>1420</c:v>
                </c:pt>
                <c:pt idx="103">
                  <c:v>1430</c:v>
                </c:pt>
                <c:pt idx="104">
                  <c:v>1440</c:v>
                </c:pt>
                <c:pt idx="105">
                  <c:v>1450</c:v>
                </c:pt>
                <c:pt idx="106">
                  <c:v>1460</c:v>
                </c:pt>
                <c:pt idx="107">
                  <c:v>1470</c:v>
                </c:pt>
                <c:pt idx="108">
                  <c:v>1480</c:v>
                </c:pt>
                <c:pt idx="109">
                  <c:v>1490</c:v>
                </c:pt>
                <c:pt idx="110">
                  <c:v>1500</c:v>
                </c:pt>
                <c:pt idx="111">
                  <c:v>1510</c:v>
                </c:pt>
                <c:pt idx="112">
                  <c:v>1520</c:v>
                </c:pt>
                <c:pt idx="113">
                  <c:v>1530</c:v>
                </c:pt>
                <c:pt idx="114">
                  <c:v>1540</c:v>
                </c:pt>
                <c:pt idx="115">
                  <c:v>1550</c:v>
                </c:pt>
                <c:pt idx="116">
                  <c:v>1560</c:v>
                </c:pt>
                <c:pt idx="117">
                  <c:v>1570</c:v>
                </c:pt>
                <c:pt idx="118">
                  <c:v>1580</c:v>
                </c:pt>
                <c:pt idx="119">
                  <c:v>1590</c:v>
                </c:pt>
                <c:pt idx="120">
                  <c:v>1600</c:v>
                </c:pt>
                <c:pt idx="121">
                  <c:v>1610</c:v>
                </c:pt>
                <c:pt idx="122">
                  <c:v>1620</c:v>
                </c:pt>
                <c:pt idx="123">
                  <c:v>1630</c:v>
                </c:pt>
                <c:pt idx="124">
                  <c:v>1640</c:v>
                </c:pt>
                <c:pt idx="125">
                  <c:v>1650</c:v>
                </c:pt>
                <c:pt idx="126">
                  <c:v>1660</c:v>
                </c:pt>
                <c:pt idx="127">
                  <c:v>1670</c:v>
                </c:pt>
                <c:pt idx="128">
                  <c:v>1680</c:v>
                </c:pt>
                <c:pt idx="129">
                  <c:v>1690</c:v>
                </c:pt>
                <c:pt idx="130">
                  <c:v>1700</c:v>
                </c:pt>
                <c:pt idx="131">
                  <c:v>1710</c:v>
                </c:pt>
                <c:pt idx="132">
                  <c:v>1720</c:v>
                </c:pt>
                <c:pt idx="133">
                  <c:v>1730</c:v>
                </c:pt>
                <c:pt idx="134">
                  <c:v>1740</c:v>
                </c:pt>
                <c:pt idx="135">
                  <c:v>1750</c:v>
                </c:pt>
                <c:pt idx="136">
                  <c:v>1760</c:v>
                </c:pt>
                <c:pt idx="137">
                  <c:v>1770</c:v>
                </c:pt>
                <c:pt idx="138">
                  <c:v>1780</c:v>
                </c:pt>
                <c:pt idx="139">
                  <c:v>1790</c:v>
                </c:pt>
                <c:pt idx="140">
                  <c:v>1800</c:v>
                </c:pt>
              </c:numCache>
            </c:numRef>
          </c:xVal>
          <c:yVal>
            <c:numRef>
              <c:f>W3Calc!$T$5:$T$145</c:f>
              <c:numCache>
                <c:formatCode>0.00</c:formatCode>
                <c:ptCount val="141"/>
                <c:pt idx="5">
                  <c:v>445.82</c:v>
                </c:pt>
                <c:pt idx="6">
                  <c:v>440.85</c:v>
                </c:pt>
                <c:pt idx="7">
                  <c:v>435.89</c:v>
                </c:pt>
                <c:pt idx="8">
                  <c:v>430.94</c:v>
                </c:pt>
                <c:pt idx="9">
                  <c:v>425.98</c:v>
                </c:pt>
                <c:pt idx="10">
                  <c:v>421.04</c:v>
                </c:pt>
                <c:pt idx="11">
                  <c:v>416.1</c:v>
                </c:pt>
                <c:pt idx="12">
                  <c:v>411.17</c:v>
                </c:pt>
                <c:pt idx="13">
                  <c:v>406.25</c:v>
                </c:pt>
                <c:pt idx="14">
                  <c:v>401.34</c:v>
                </c:pt>
                <c:pt idx="15">
                  <c:v>396.45</c:v>
                </c:pt>
                <c:pt idx="16">
                  <c:v>391.57</c:v>
                </c:pt>
                <c:pt idx="17">
                  <c:v>386.7</c:v>
                </c:pt>
                <c:pt idx="18">
                  <c:v>381.85</c:v>
                </c:pt>
                <c:pt idx="19">
                  <c:v>377.02</c:v>
                </c:pt>
                <c:pt idx="20">
                  <c:v>372.21</c:v>
                </c:pt>
                <c:pt idx="21">
                  <c:v>367.42</c:v>
                </c:pt>
                <c:pt idx="22">
                  <c:v>362.65</c:v>
                </c:pt>
                <c:pt idx="23">
                  <c:v>357.9</c:v>
                </c:pt>
                <c:pt idx="24">
                  <c:v>353.17</c:v>
                </c:pt>
                <c:pt idx="25">
                  <c:v>348.47</c:v>
                </c:pt>
                <c:pt idx="26">
                  <c:v>343.79</c:v>
                </c:pt>
                <c:pt idx="27">
                  <c:v>339.14</c:v>
                </c:pt>
                <c:pt idx="28">
                  <c:v>334.52</c:v>
                </c:pt>
                <c:pt idx="29">
                  <c:v>329.93</c:v>
                </c:pt>
                <c:pt idx="30">
                  <c:v>325.36</c:v>
                </c:pt>
                <c:pt idx="31">
                  <c:v>320.83</c:v>
                </c:pt>
                <c:pt idx="32">
                  <c:v>316.33</c:v>
                </c:pt>
                <c:pt idx="33">
                  <c:v>311.86</c:v>
                </c:pt>
                <c:pt idx="34">
                  <c:v>307.42</c:v>
                </c:pt>
                <c:pt idx="35">
                  <c:v>303.02</c:v>
                </c:pt>
                <c:pt idx="36">
                  <c:v>298.64999999999998</c:v>
                </c:pt>
                <c:pt idx="37">
                  <c:v>294.32</c:v>
                </c:pt>
                <c:pt idx="38">
                  <c:v>290.02</c:v>
                </c:pt>
                <c:pt idx="39">
                  <c:v>285.76</c:v>
                </c:pt>
                <c:pt idx="40">
                  <c:v>281.54000000000002</c:v>
                </c:pt>
                <c:pt idx="41">
                  <c:v>277.36</c:v>
                </c:pt>
                <c:pt idx="42">
                  <c:v>273.20999999999998</c:v>
                </c:pt>
                <c:pt idx="43">
                  <c:v>269.11</c:v>
                </c:pt>
                <c:pt idx="44">
                  <c:v>265.05</c:v>
                </c:pt>
                <c:pt idx="45">
                  <c:v>261.02999999999997</c:v>
                </c:pt>
                <c:pt idx="46">
                  <c:v>257.05</c:v>
                </c:pt>
                <c:pt idx="47">
                  <c:v>253.11</c:v>
                </c:pt>
                <c:pt idx="48">
                  <c:v>249.22</c:v>
                </c:pt>
                <c:pt idx="49">
                  <c:v>245.37</c:v>
                </c:pt>
                <c:pt idx="50">
                  <c:v>241.57</c:v>
                </c:pt>
                <c:pt idx="51">
                  <c:v>237.81</c:v>
                </c:pt>
                <c:pt idx="52">
                  <c:v>234.1</c:v>
                </c:pt>
                <c:pt idx="53">
                  <c:v>230.43</c:v>
                </c:pt>
                <c:pt idx="54">
                  <c:v>226.81</c:v>
                </c:pt>
                <c:pt idx="55">
                  <c:v>223.23</c:v>
                </c:pt>
                <c:pt idx="56">
                  <c:v>219.71</c:v>
                </c:pt>
                <c:pt idx="57">
                  <c:v>216.23</c:v>
                </c:pt>
                <c:pt idx="58">
                  <c:v>212.8</c:v>
                </c:pt>
                <c:pt idx="59">
                  <c:v>209.42</c:v>
                </c:pt>
                <c:pt idx="60">
                  <c:v>206.08</c:v>
                </c:pt>
                <c:pt idx="61">
                  <c:v>202.8</c:v>
                </c:pt>
                <c:pt idx="62">
                  <c:v>199.56</c:v>
                </c:pt>
                <c:pt idx="63">
                  <c:v>196.38</c:v>
                </c:pt>
                <c:pt idx="64">
                  <c:v>193.24</c:v>
                </c:pt>
                <c:pt idx="65">
                  <c:v>190.16</c:v>
                </c:pt>
                <c:pt idx="66">
                  <c:v>187.13</c:v>
                </c:pt>
                <c:pt idx="67">
                  <c:v>184.15</c:v>
                </c:pt>
                <c:pt idx="68">
                  <c:v>181.21</c:v>
                </c:pt>
                <c:pt idx="69">
                  <c:v>178.33</c:v>
                </c:pt>
                <c:pt idx="70">
                  <c:v>175.5</c:v>
                </c:pt>
                <c:pt idx="71">
                  <c:v>172.73</c:v>
                </c:pt>
                <c:pt idx="72">
                  <c:v>170</c:v>
                </c:pt>
                <c:pt idx="73">
                  <c:v>167.33</c:v>
                </c:pt>
                <c:pt idx="74">
                  <c:v>164.7</c:v>
                </c:pt>
                <c:pt idx="75">
                  <c:v>162.13</c:v>
                </c:pt>
                <c:pt idx="76">
                  <c:v>159.61000000000001</c:v>
                </c:pt>
                <c:pt idx="77">
                  <c:v>157.15</c:v>
                </c:pt>
                <c:pt idx="78">
                  <c:v>154.72999999999999</c:v>
                </c:pt>
                <c:pt idx="79">
                  <c:v>152.37</c:v>
                </c:pt>
                <c:pt idx="80">
                  <c:v>150.06</c:v>
                </c:pt>
                <c:pt idx="81">
                  <c:v>147.80000000000001</c:v>
                </c:pt>
                <c:pt idx="82">
                  <c:v>145.59</c:v>
                </c:pt>
                <c:pt idx="83">
                  <c:v>143.43</c:v>
                </c:pt>
                <c:pt idx="84">
                  <c:v>141.33000000000001</c:v>
                </c:pt>
                <c:pt idx="85">
                  <c:v>139.27000000000001</c:v>
                </c:pt>
                <c:pt idx="86">
                  <c:v>137.27000000000001</c:v>
                </c:pt>
                <c:pt idx="87">
                  <c:v>135.31</c:v>
                </c:pt>
                <c:pt idx="88">
                  <c:v>133.41</c:v>
                </c:pt>
                <c:pt idx="89">
                  <c:v>131.56</c:v>
                </c:pt>
                <c:pt idx="90">
                  <c:v>129.76</c:v>
                </c:pt>
                <c:pt idx="91">
                  <c:v>128.01</c:v>
                </c:pt>
                <c:pt idx="92">
                  <c:v>126.3</c:v>
                </c:pt>
                <c:pt idx="93">
                  <c:v>124.65</c:v>
                </c:pt>
                <c:pt idx="94">
                  <c:v>123.05</c:v>
                </c:pt>
                <c:pt idx="95">
                  <c:v>121.49</c:v>
                </c:pt>
                <c:pt idx="96">
                  <c:v>119.98</c:v>
                </c:pt>
                <c:pt idx="97">
                  <c:v>118.52</c:v>
                </c:pt>
                <c:pt idx="98">
                  <c:v>117.11</c:v>
                </c:pt>
                <c:pt idx="99">
                  <c:v>115.74</c:v>
                </c:pt>
                <c:pt idx="100">
                  <c:v>114.42</c:v>
                </c:pt>
                <c:pt idx="101">
                  <c:v>113.15</c:v>
                </c:pt>
                <c:pt idx="102">
                  <c:v>111.92</c:v>
                </c:pt>
                <c:pt idx="103">
                  <c:v>110.74</c:v>
                </c:pt>
                <c:pt idx="104">
                  <c:v>109.6</c:v>
                </c:pt>
                <c:pt idx="105">
                  <c:v>108.5</c:v>
                </c:pt>
                <c:pt idx="106">
                  <c:v>107.45</c:v>
                </c:pt>
                <c:pt idx="107">
                  <c:v>106.44</c:v>
                </c:pt>
                <c:pt idx="108">
                  <c:v>105.47</c:v>
                </c:pt>
                <c:pt idx="109">
                  <c:v>104.55</c:v>
                </c:pt>
                <c:pt idx="110">
                  <c:v>103.66</c:v>
                </c:pt>
                <c:pt idx="111">
                  <c:v>102.81</c:v>
                </c:pt>
                <c:pt idx="112">
                  <c:v>102.01</c:v>
                </c:pt>
                <c:pt idx="113">
                  <c:v>101.24</c:v>
                </c:pt>
                <c:pt idx="114">
                  <c:v>100.51</c:v>
                </c:pt>
                <c:pt idx="115">
                  <c:v>100</c:v>
                </c:pt>
                <c:pt idx="116">
                  <c:v>100</c:v>
                </c:pt>
                <c:pt idx="117">
                  <c:v>100</c:v>
                </c:pt>
                <c:pt idx="118">
                  <c:v>100</c:v>
                </c:pt>
                <c:pt idx="119">
                  <c:v>100</c:v>
                </c:pt>
                <c:pt idx="120">
                  <c:v>100</c:v>
                </c:pt>
                <c:pt idx="121">
                  <c:v>100</c:v>
                </c:pt>
                <c:pt idx="122">
                  <c:v>100</c:v>
                </c:pt>
                <c:pt idx="123">
                  <c:v>100</c:v>
                </c:pt>
                <c:pt idx="124">
                  <c:v>100</c:v>
                </c:pt>
                <c:pt idx="125">
                  <c:v>100</c:v>
                </c:pt>
                <c:pt idx="126">
                  <c:v>100</c:v>
                </c:pt>
                <c:pt idx="127">
                  <c:v>100</c:v>
                </c:pt>
                <c:pt idx="128">
                  <c:v>100</c:v>
                </c:pt>
                <c:pt idx="129">
                  <c:v>100</c:v>
                </c:pt>
                <c:pt idx="130">
                  <c:v>100</c:v>
                </c:pt>
                <c:pt idx="131">
                  <c:v>100</c:v>
                </c:pt>
                <c:pt idx="132">
                  <c:v>100</c:v>
                </c:pt>
                <c:pt idx="133">
                  <c:v>100</c:v>
                </c:pt>
                <c:pt idx="134">
                  <c:v>100</c:v>
                </c:pt>
                <c:pt idx="135">
                  <c:v>100</c:v>
                </c:pt>
                <c:pt idx="136">
                  <c:v>100</c:v>
                </c:pt>
                <c:pt idx="137">
                  <c:v>100</c:v>
                </c:pt>
                <c:pt idx="138">
                  <c:v>100</c:v>
                </c:pt>
                <c:pt idx="139">
                  <c:v>100</c:v>
                </c:pt>
                <c:pt idx="140">
                  <c:v>100</c:v>
                </c:pt>
              </c:numCache>
            </c:numRef>
          </c:yVal>
          <c:smooth val="1"/>
        </c:ser>
        <c:axId val="100560256"/>
        <c:axId val="100566528"/>
      </c:scatterChart>
      <c:valAx>
        <c:axId val="100560256"/>
        <c:scaling>
          <c:orientation val="minMax"/>
          <c:max val="1800"/>
          <c:min val="400"/>
        </c:scaling>
        <c:axPos val="b"/>
        <c:majorGridlines>
          <c:spPr>
            <a:ln w="12700">
              <a:solidFill>
                <a:prstClr val="black"/>
              </a:solidFill>
            </a:ln>
          </c:spPr>
        </c:majorGridlines>
        <c:title>
          <c:tx>
            <c:rich>
              <a:bodyPr/>
              <a:lstStyle/>
              <a:p>
                <a:pPr>
                  <a:defRPr/>
                </a:pPr>
                <a:r>
                  <a:rPr lang="en-US"/>
                  <a:t>MAJOR ROUTE - TOTAL OF BOTH APPROACHES [VPH]</a:t>
                </a:r>
              </a:p>
            </c:rich>
          </c:tx>
          <c:layout>
            <c:manualLayout>
              <c:xMode val="edge"/>
              <c:yMode val="edge"/>
              <c:x val="0.20730705393205601"/>
              <c:y val="0.91955002272633457"/>
            </c:manualLayout>
          </c:layout>
        </c:title>
        <c:numFmt formatCode="#,##0" sourceLinked="0"/>
        <c:tickLblPos val="nextTo"/>
        <c:spPr>
          <a:noFill/>
          <a:ln w="12700">
            <a:solidFill>
              <a:prstClr val="black"/>
            </a:solidFill>
          </a:ln>
        </c:spPr>
        <c:txPr>
          <a:bodyPr rot="-2700000"/>
          <a:lstStyle/>
          <a:p>
            <a:pPr>
              <a:defRPr sz="900" baseline="0"/>
            </a:pPr>
            <a:endParaRPr lang="en-US"/>
          </a:p>
        </c:txPr>
        <c:crossAx val="100566528"/>
        <c:crosses val="autoZero"/>
        <c:crossBetween val="midCat"/>
        <c:majorUnit val="100"/>
        <c:minorUnit val="20"/>
      </c:valAx>
      <c:valAx>
        <c:axId val="100566528"/>
        <c:scaling>
          <c:orientation val="minMax"/>
          <c:max val="600"/>
          <c:min val="0"/>
        </c:scaling>
        <c:axPos val="l"/>
        <c:majorGridlines>
          <c:spPr>
            <a:ln>
              <a:solidFill>
                <a:prstClr val="black"/>
              </a:solidFill>
              <a:prstDash val="sysDash"/>
            </a:ln>
          </c:spPr>
        </c:majorGridlines>
        <c:title>
          <c:tx>
            <c:rich>
              <a:bodyPr rot="-5400000" vert="horz"/>
              <a:lstStyle/>
              <a:p>
                <a:pPr>
                  <a:defRPr/>
                </a:pPr>
                <a:r>
                  <a:rPr lang="en-US"/>
                  <a:t>MINOR  ROUTE - HIGHER</a:t>
                </a:r>
              </a:p>
              <a:p>
                <a:pPr>
                  <a:defRPr/>
                </a:pPr>
                <a:r>
                  <a:rPr lang="en-US"/>
                  <a:t>VOLUME  APPROACH [VPH]</a:t>
                </a:r>
              </a:p>
            </c:rich>
          </c:tx>
          <c:layout>
            <c:manualLayout>
              <c:xMode val="edge"/>
              <c:yMode val="edge"/>
              <c:x val="0"/>
              <c:y val="7.3929956226286814E-2"/>
            </c:manualLayout>
          </c:layout>
        </c:title>
        <c:numFmt formatCode="#,##0" sourceLinked="0"/>
        <c:tickLblPos val="nextTo"/>
        <c:spPr>
          <a:noFill/>
          <a:ln w="12700">
            <a:solidFill>
              <a:prstClr val="black"/>
            </a:solidFill>
            <a:prstDash val="solid"/>
          </a:ln>
        </c:spPr>
        <c:txPr>
          <a:bodyPr/>
          <a:lstStyle/>
          <a:p>
            <a:pPr>
              <a:defRPr sz="900" baseline="0"/>
            </a:pPr>
            <a:endParaRPr lang="en-US"/>
          </a:p>
        </c:txPr>
        <c:crossAx val="100560256"/>
        <c:crosses val="autoZero"/>
        <c:crossBetween val="midCat"/>
        <c:majorUnit val="100"/>
        <c:minorUnit val="10"/>
      </c:valAx>
      <c:spPr>
        <a:noFill/>
        <a:ln w="25400">
          <a:solidFill>
            <a:prstClr val="black"/>
          </a:solidFill>
        </a:ln>
      </c:spPr>
    </c:plotArea>
    <c:legend>
      <c:legendPos val="r"/>
      <c:layout>
        <c:manualLayout>
          <c:xMode val="edge"/>
          <c:yMode val="edge"/>
          <c:x val="0.80375863258555935"/>
          <c:y val="1.6193815853775071E-3"/>
          <c:w val="0.19624136741444256"/>
          <c:h val="0.99120984510679688"/>
        </c:manualLayout>
      </c:layout>
      <c:txPr>
        <a:bodyPr/>
        <a:lstStyle/>
        <a:p>
          <a:pPr>
            <a:defRPr sz="800" baseline="0"/>
          </a:pPr>
          <a:endParaRPr lang="en-US"/>
        </a:p>
      </c:txPr>
    </c:legend>
    <c:plotVisOnly val="1"/>
    <c:dispBlanksAs val="gap"/>
  </c:chart>
  <c:spPr>
    <a:ln>
      <a:noFill/>
    </a:ln>
  </c:spPr>
  <c:printSettings>
    <c:headerFooter/>
    <c:pageMargins b="0.750000000000003" l="0.70000000000000062" r="0.70000000000000062" t="0.75000000000000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lang val="en-US"/>
  <c:chart>
    <c:plotArea>
      <c:layout>
        <c:manualLayout>
          <c:layoutTarget val="inner"/>
          <c:xMode val="edge"/>
          <c:yMode val="edge"/>
          <c:x val="0.10797079498654519"/>
          <c:y val="3.2362218206981715E-2"/>
          <c:w val="0.68435936115050711"/>
          <c:h val="0.7448372056981245"/>
        </c:manualLayout>
      </c:layout>
      <c:scatterChart>
        <c:scatterStyle val="lineMarker"/>
        <c:ser>
          <c:idx val="0"/>
          <c:order val="5"/>
          <c:tx>
            <c:v>70% Volume Level</c:v>
          </c:tx>
          <c:spPr>
            <a:ln>
              <a:noFill/>
            </a:ln>
          </c:spPr>
          <c:marker>
            <c:symbol val="x"/>
            <c:size val="7"/>
            <c:spPr>
              <a:noFill/>
              <a:ln w="25400">
                <a:solidFill>
                  <a:srgbClr val="FF0000"/>
                </a:solidFill>
              </a:ln>
            </c:spPr>
          </c:marker>
          <c:dLbls>
            <c:dLbl>
              <c:idx val="0"/>
              <c:tx>
                <c:strRef>
                  <c:f>W3Calc!$G$20</c:f>
                  <c:strCache>
                    <c:ptCount val="1"/>
                  </c:strCache>
                </c:strRef>
              </c:tx>
              <c:dLblPos val="t"/>
              <c:showVal val="1"/>
            </c:dLbl>
            <c:txPr>
              <a:bodyPr rot="-2400000" anchor="b" anchorCtr="1"/>
              <a:lstStyle/>
              <a:p>
                <a:pPr>
                  <a:defRPr sz="900" b="1" i="0" baseline="0">
                    <a:solidFill>
                      <a:srgbClr val="FF0000"/>
                    </a:solidFill>
                    <a:latin typeface="Arial" pitchFamily="34" charset="0"/>
                  </a:defRPr>
                </a:pPr>
                <a:endParaRPr lang="en-US"/>
              </a:p>
            </c:txPr>
            <c:showVal val="1"/>
          </c:dLbls>
          <c:xVal>
            <c:numRef>
              <c:f>W3Calc!$H$20</c:f>
            </c:numRef>
          </c:xVal>
          <c:yVal>
            <c:numRef>
              <c:f>W3Calc!$I$20</c:f>
              <c:numCache>
                <c:formatCode>#,##0</c:formatCode>
                <c:ptCount val="1"/>
                <c:pt idx="0">
                  <c:v>0</c:v>
                </c:pt>
              </c:numCache>
            </c:numRef>
          </c:yVal>
        </c:ser>
        <c:ser>
          <c:idx val="1"/>
          <c:order val="6"/>
          <c:tx>
            <c:v>100vph lower threshold</c:v>
          </c:tx>
          <c:spPr>
            <a:ln w="25400">
              <a:solidFill>
                <a:schemeClr val="tx1"/>
              </a:solidFill>
              <a:prstDash val="lgDashDotDot"/>
            </a:ln>
          </c:spPr>
          <c:marker>
            <c:symbol val="none"/>
          </c:marker>
          <c:xVal>
            <c:numRef>
              <c:f>W3Calc!$G$25:$G$26</c:f>
              <c:numCache>
                <c:formatCode>#,##0</c:formatCode>
                <c:ptCount val="2"/>
                <c:pt idx="0">
                  <c:v>300</c:v>
                </c:pt>
                <c:pt idx="1">
                  <c:v>1300</c:v>
                </c:pt>
              </c:numCache>
            </c:numRef>
          </c:xVal>
          <c:yVal>
            <c:numRef>
              <c:f>W3Calc!$H$25:$H$26</c:f>
              <c:numCache>
                <c:formatCode>#,##0</c:formatCode>
                <c:ptCount val="2"/>
                <c:pt idx="0">
                  <c:v>100</c:v>
                </c:pt>
                <c:pt idx="1">
                  <c:v>100</c:v>
                </c:pt>
              </c:numCache>
            </c:numRef>
          </c:yVal>
        </c:ser>
        <c:ser>
          <c:idx val="2"/>
          <c:order val="7"/>
          <c:tx>
            <c:v>75vph lower threshold</c:v>
          </c:tx>
          <c:spPr>
            <a:ln w="25400">
              <a:solidFill>
                <a:prstClr val="black"/>
              </a:solidFill>
              <a:prstDash val="lgDash"/>
            </a:ln>
          </c:spPr>
          <c:marker>
            <c:symbol val="none"/>
          </c:marker>
          <c:xVal>
            <c:numRef>
              <c:f>W3Calc!$G$25:$G$26</c:f>
              <c:numCache>
                <c:formatCode>#,##0</c:formatCode>
                <c:ptCount val="2"/>
                <c:pt idx="0">
                  <c:v>300</c:v>
                </c:pt>
                <c:pt idx="1">
                  <c:v>1300</c:v>
                </c:pt>
              </c:numCache>
            </c:numRef>
          </c:xVal>
          <c:yVal>
            <c:numRef>
              <c:f>W3Calc!$I$25:$I$26</c:f>
              <c:numCache>
                <c:formatCode>#,##0</c:formatCode>
                <c:ptCount val="2"/>
                <c:pt idx="0">
                  <c:v>75</c:v>
                </c:pt>
                <c:pt idx="1">
                  <c:v>75</c:v>
                </c:pt>
              </c:numCache>
            </c:numRef>
          </c:yVal>
        </c:ser>
        <c:axId val="101789056"/>
        <c:axId val="101811712"/>
      </c:scatterChart>
      <c:scatterChart>
        <c:scatterStyle val="smoothMarker"/>
        <c:ser>
          <c:idx val="7"/>
          <c:order val="0"/>
          <c:tx>
            <c:v>Active Curve</c:v>
          </c:tx>
          <c:spPr>
            <a:ln w="38100">
              <a:solidFill>
                <a:srgbClr val="FF0000"/>
              </a:solidFill>
            </a:ln>
          </c:spPr>
          <c:marker>
            <c:symbol val="none"/>
          </c:marker>
          <c:xVal>
            <c:numRef>
              <c:f>W3Calc!$AC$7:$AC$105</c:f>
              <c:numCache>
                <c:formatCode>0</c:formatCode>
                <c:ptCount val="99"/>
                <c:pt idx="0">
                  <c:v>360</c:v>
                </c:pt>
                <c:pt idx="1">
                  <c:v>360</c:v>
                </c:pt>
                <c:pt idx="2">
                  <c:v>360</c:v>
                </c:pt>
                <c:pt idx="3">
                  <c:v>360</c:v>
                </c:pt>
                <c:pt idx="4">
                  <c:v>360</c:v>
                </c:pt>
                <c:pt idx="5">
                  <c:v>370</c:v>
                </c:pt>
                <c:pt idx="6">
                  <c:v>380</c:v>
                </c:pt>
                <c:pt idx="7">
                  <c:v>390</c:v>
                </c:pt>
                <c:pt idx="8">
                  <c:v>400</c:v>
                </c:pt>
                <c:pt idx="9">
                  <c:v>410</c:v>
                </c:pt>
                <c:pt idx="10">
                  <c:v>420</c:v>
                </c:pt>
                <c:pt idx="11">
                  <c:v>430</c:v>
                </c:pt>
                <c:pt idx="12">
                  <c:v>440</c:v>
                </c:pt>
                <c:pt idx="13">
                  <c:v>450</c:v>
                </c:pt>
                <c:pt idx="14">
                  <c:v>460</c:v>
                </c:pt>
                <c:pt idx="15">
                  <c:v>470</c:v>
                </c:pt>
                <c:pt idx="16">
                  <c:v>480</c:v>
                </c:pt>
                <c:pt idx="17">
                  <c:v>490</c:v>
                </c:pt>
                <c:pt idx="18">
                  <c:v>500</c:v>
                </c:pt>
                <c:pt idx="19">
                  <c:v>510</c:v>
                </c:pt>
                <c:pt idx="20">
                  <c:v>520</c:v>
                </c:pt>
                <c:pt idx="21">
                  <c:v>530</c:v>
                </c:pt>
                <c:pt idx="22">
                  <c:v>540</c:v>
                </c:pt>
                <c:pt idx="23">
                  <c:v>550</c:v>
                </c:pt>
                <c:pt idx="24">
                  <c:v>560</c:v>
                </c:pt>
                <c:pt idx="25">
                  <c:v>570</c:v>
                </c:pt>
                <c:pt idx="26">
                  <c:v>580</c:v>
                </c:pt>
                <c:pt idx="27">
                  <c:v>590</c:v>
                </c:pt>
                <c:pt idx="28">
                  <c:v>600</c:v>
                </c:pt>
                <c:pt idx="29">
                  <c:v>610</c:v>
                </c:pt>
                <c:pt idx="30">
                  <c:v>620</c:v>
                </c:pt>
                <c:pt idx="31">
                  <c:v>630</c:v>
                </c:pt>
                <c:pt idx="32">
                  <c:v>640</c:v>
                </c:pt>
                <c:pt idx="33">
                  <c:v>650</c:v>
                </c:pt>
                <c:pt idx="34">
                  <c:v>660</c:v>
                </c:pt>
                <c:pt idx="35">
                  <c:v>670</c:v>
                </c:pt>
                <c:pt idx="36">
                  <c:v>680</c:v>
                </c:pt>
                <c:pt idx="37">
                  <c:v>690</c:v>
                </c:pt>
                <c:pt idx="38">
                  <c:v>700</c:v>
                </c:pt>
                <c:pt idx="39">
                  <c:v>710</c:v>
                </c:pt>
                <c:pt idx="40">
                  <c:v>720</c:v>
                </c:pt>
                <c:pt idx="41">
                  <c:v>730</c:v>
                </c:pt>
                <c:pt idx="42">
                  <c:v>740</c:v>
                </c:pt>
                <c:pt idx="43">
                  <c:v>750</c:v>
                </c:pt>
                <c:pt idx="44">
                  <c:v>760</c:v>
                </c:pt>
                <c:pt idx="45">
                  <c:v>770</c:v>
                </c:pt>
                <c:pt idx="46">
                  <c:v>780</c:v>
                </c:pt>
                <c:pt idx="47">
                  <c:v>790</c:v>
                </c:pt>
                <c:pt idx="48">
                  <c:v>800</c:v>
                </c:pt>
                <c:pt idx="49">
                  <c:v>810</c:v>
                </c:pt>
                <c:pt idx="50">
                  <c:v>820</c:v>
                </c:pt>
                <c:pt idx="51">
                  <c:v>830</c:v>
                </c:pt>
                <c:pt idx="52">
                  <c:v>840</c:v>
                </c:pt>
                <c:pt idx="53">
                  <c:v>850</c:v>
                </c:pt>
                <c:pt idx="54">
                  <c:v>860</c:v>
                </c:pt>
                <c:pt idx="55">
                  <c:v>870</c:v>
                </c:pt>
                <c:pt idx="56">
                  <c:v>880</c:v>
                </c:pt>
                <c:pt idx="57">
                  <c:v>890</c:v>
                </c:pt>
                <c:pt idx="58">
                  <c:v>900</c:v>
                </c:pt>
                <c:pt idx="59">
                  <c:v>910</c:v>
                </c:pt>
                <c:pt idx="60">
                  <c:v>920</c:v>
                </c:pt>
                <c:pt idx="61">
                  <c:v>930</c:v>
                </c:pt>
                <c:pt idx="62">
                  <c:v>940</c:v>
                </c:pt>
                <c:pt idx="63">
                  <c:v>950</c:v>
                </c:pt>
                <c:pt idx="64">
                  <c:v>960</c:v>
                </c:pt>
                <c:pt idx="65">
                  <c:v>970</c:v>
                </c:pt>
                <c:pt idx="66">
                  <c:v>980</c:v>
                </c:pt>
                <c:pt idx="67">
                  <c:v>990</c:v>
                </c:pt>
                <c:pt idx="68">
                  <c:v>1000</c:v>
                </c:pt>
                <c:pt idx="69">
                  <c:v>1010</c:v>
                </c:pt>
                <c:pt idx="70">
                  <c:v>1020</c:v>
                </c:pt>
                <c:pt idx="71">
                  <c:v>1030</c:v>
                </c:pt>
                <c:pt idx="72">
                  <c:v>1040</c:v>
                </c:pt>
                <c:pt idx="73">
                  <c:v>1050</c:v>
                </c:pt>
                <c:pt idx="74">
                  <c:v>1060</c:v>
                </c:pt>
                <c:pt idx="75">
                  <c:v>1070</c:v>
                </c:pt>
                <c:pt idx="76">
                  <c:v>1080</c:v>
                </c:pt>
                <c:pt idx="77">
                  <c:v>1090</c:v>
                </c:pt>
                <c:pt idx="78">
                  <c:v>1100</c:v>
                </c:pt>
                <c:pt idx="79">
                  <c:v>1110</c:v>
                </c:pt>
                <c:pt idx="80">
                  <c:v>1120</c:v>
                </c:pt>
                <c:pt idx="81">
                  <c:v>1130</c:v>
                </c:pt>
                <c:pt idx="82">
                  <c:v>1140</c:v>
                </c:pt>
                <c:pt idx="83">
                  <c:v>1150</c:v>
                </c:pt>
                <c:pt idx="84">
                  <c:v>1160</c:v>
                </c:pt>
                <c:pt idx="85">
                  <c:v>1170</c:v>
                </c:pt>
                <c:pt idx="86">
                  <c:v>1180</c:v>
                </c:pt>
                <c:pt idx="87">
                  <c:v>1190</c:v>
                </c:pt>
                <c:pt idx="88">
                  <c:v>1200</c:v>
                </c:pt>
                <c:pt idx="89">
                  <c:v>1210</c:v>
                </c:pt>
                <c:pt idx="90">
                  <c:v>1220</c:v>
                </c:pt>
                <c:pt idx="91">
                  <c:v>1230</c:v>
                </c:pt>
                <c:pt idx="92">
                  <c:v>1240</c:v>
                </c:pt>
                <c:pt idx="93">
                  <c:v>1250</c:v>
                </c:pt>
                <c:pt idx="94">
                  <c:v>1260</c:v>
                </c:pt>
                <c:pt idx="95">
                  <c:v>1270</c:v>
                </c:pt>
                <c:pt idx="96">
                  <c:v>1280</c:v>
                </c:pt>
                <c:pt idx="97">
                  <c:v>1290</c:v>
                </c:pt>
                <c:pt idx="98">
                  <c:v>1300</c:v>
                </c:pt>
              </c:numCache>
            </c:numRef>
          </c:xVal>
          <c:yVal>
            <c:numRef>
              <c:f>W3Calc!$AD$7:$AD$105</c:f>
              <c:numCache>
                <c:formatCode>0.00</c:formatCode>
                <c:ptCount val="99"/>
                <c:pt idx="0">
                  <c:v>352.14</c:v>
                </c:pt>
                <c:pt idx="1">
                  <c:v>352.14</c:v>
                </c:pt>
                <c:pt idx="2">
                  <c:v>352.14</c:v>
                </c:pt>
                <c:pt idx="3">
                  <c:v>352.14</c:v>
                </c:pt>
                <c:pt idx="4">
                  <c:v>352.14</c:v>
                </c:pt>
                <c:pt idx="5">
                  <c:v>347.34</c:v>
                </c:pt>
                <c:pt idx="6">
                  <c:v>342.53</c:v>
                </c:pt>
                <c:pt idx="7">
                  <c:v>337.71</c:v>
                </c:pt>
                <c:pt idx="8">
                  <c:v>332.9</c:v>
                </c:pt>
                <c:pt idx="9">
                  <c:v>328.08</c:v>
                </c:pt>
                <c:pt idx="10">
                  <c:v>323.27</c:v>
                </c:pt>
                <c:pt idx="11">
                  <c:v>318.47000000000003</c:v>
                </c:pt>
                <c:pt idx="12">
                  <c:v>313.67</c:v>
                </c:pt>
                <c:pt idx="13">
                  <c:v>308.88</c:v>
                </c:pt>
                <c:pt idx="14">
                  <c:v>304.11</c:v>
                </c:pt>
                <c:pt idx="15">
                  <c:v>299.35000000000002</c:v>
                </c:pt>
                <c:pt idx="16">
                  <c:v>294.61</c:v>
                </c:pt>
                <c:pt idx="17">
                  <c:v>289.88</c:v>
                </c:pt>
                <c:pt idx="18">
                  <c:v>285.18</c:v>
                </c:pt>
                <c:pt idx="19">
                  <c:v>280.5</c:v>
                </c:pt>
                <c:pt idx="20">
                  <c:v>275.85000000000002</c:v>
                </c:pt>
                <c:pt idx="21">
                  <c:v>271.22000000000003</c:v>
                </c:pt>
                <c:pt idx="22">
                  <c:v>266.63</c:v>
                </c:pt>
                <c:pt idx="23">
                  <c:v>262.06</c:v>
                </c:pt>
                <c:pt idx="24">
                  <c:v>257.52999999999997</c:v>
                </c:pt>
                <c:pt idx="25">
                  <c:v>253.03</c:v>
                </c:pt>
                <c:pt idx="26">
                  <c:v>248.56</c:v>
                </c:pt>
                <c:pt idx="27">
                  <c:v>244.14</c:v>
                </c:pt>
                <c:pt idx="28">
                  <c:v>239.75</c:v>
                </c:pt>
                <c:pt idx="29">
                  <c:v>235.41</c:v>
                </c:pt>
                <c:pt idx="30">
                  <c:v>231.1</c:v>
                </c:pt>
                <c:pt idx="31">
                  <c:v>226.84</c:v>
                </c:pt>
                <c:pt idx="32">
                  <c:v>222.63</c:v>
                </c:pt>
                <c:pt idx="33">
                  <c:v>218.46</c:v>
                </c:pt>
                <c:pt idx="34">
                  <c:v>214.33</c:v>
                </c:pt>
                <c:pt idx="35">
                  <c:v>210.26</c:v>
                </c:pt>
                <c:pt idx="36">
                  <c:v>206.24</c:v>
                </c:pt>
                <c:pt idx="37">
                  <c:v>202.27</c:v>
                </c:pt>
                <c:pt idx="38">
                  <c:v>198.35</c:v>
                </c:pt>
                <c:pt idx="39">
                  <c:v>194.48</c:v>
                </c:pt>
                <c:pt idx="40">
                  <c:v>190.67</c:v>
                </c:pt>
                <c:pt idx="41">
                  <c:v>186.91</c:v>
                </c:pt>
                <c:pt idx="42">
                  <c:v>183.21</c:v>
                </c:pt>
                <c:pt idx="43">
                  <c:v>179.56</c:v>
                </c:pt>
                <c:pt idx="44">
                  <c:v>175.97</c:v>
                </c:pt>
                <c:pt idx="45">
                  <c:v>172.44</c:v>
                </c:pt>
                <c:pt idx="46">
                  <c:v>168.97</c:v>
                </c:pt>
                <c:pt idx="47">
                  <c:v>165.56</c:v>
                </c:pt>
                <c:pt idx="48">
                  <c:v>162.21</c:v>
                </c:pt>
                <c:pt idx="49">
                  <c:v>158.91999999999999</c:v>
                </c:pt>
                <c:pt idx="50">
                  <c:v>155.69</c:v>
                </c:pt>
                <c:pt idx="51">
                  <c:v>152.52000000000001</c:v>
                </c:pt>
                <c:pt idx="52">
                  <c:v>149.41999999999999</c:v>
                </c:pt>
                <c:pt idx="53">
                  <c:v>146.37</c:v>
                </c:pt>
                <c:pt idx="54">
                  <c:v>143.38999999999999</c:v>
                </c:pt>
                <c:pt idx="55">
                  <c:v>140.47</c:v>
                </c:pt>
                <c:pt idx="56">
                  <c:v>137.62</c:v>
                </c:pt>
                <c:pt idx="57">
                  <c:v>134.82</c:v>
                </c:pt>
                <c:pt idx="58">
                  <c:v>132.09</c:v>
                </c:pt>
                <c:pt idx="59">
                  <c:v>129.43</c:v>
                </c:pt>
                <c:pt idx="60">
                  <c:v>126.83</c:v>
                </c:pt>
                <c:pt idx="61">
                  <c:v>124.29</c:v>
                </c:pt>
                <c:pt idx="62">
                  <c:v>121.81</c:v>
                </c:pt>
                <c:pt idx="63">
                  <c:v>119.4</c:v>
                </c:pt>
                <c:pt idx="64">
                  <c:v>117.05</c:v>
                </c:pt>
                <c:pt idx="65">
                  <c:v>114.76</c:v>
                </c:pt>
                <c:pt idx="66">
                  <c:v>112.53</c:v>
                </c:pt>
                <c:pt idx="67">
                  <c:v>110.37</c:v>
                </c:pt>
                <c:pt idx="68">
                  <c:v>108.26</c:v>
                </c:pt>
                <c:pt idx="69">
                  <c:v>106.22</c:v>
                </c:pt>
                <c:pt idx="70">
                  <c:v>104.24</c:v>
                </c:pt>
                <c:pt idx="71">
                  <c:v>102.32</c:v>
                </c:pt>
                <c:pt idx="72">
                  <c:v>100.46</c:v>
                </c:pt>
                <c:pt idx="73">
                  <c:v>98.65</c:v>
                </c:pt>
                <c:pt idx="74">
                  <c:v>96.91</c:v>
                </c:pt>
                <c:pt idx="75">
                  <c:v>95.22</c:v>
                </c:pt>
                <c:pt idx="76">
                  <c:v>93.58</c:v>
                </c:pt>
                <c:pt idx="77">
                  <c:v>92.01</c:v>
                </c:pt>
                <c:pt idx="78">
                  <c:v>90.49</c:v>
                </c:pt>
                <c:pt idx="79">
                  <c:v>89.02</c:v>
                </c:pt>
                <c:pt idx="80">
                  <c:v>87.6</c:v>
                </c:pt>
                <c:pt idx="81">
                  <c:v>86.24</c:v>
                </c:pt>
                <c:pt idx="82">
                  <c:v>84.92</c:v>
                </c:pt>
                <c:pt idx="83">
                  <c:v>83.66</c:v>
                </c:pt>
                <c:pt idx="84">
                  <c:v>82.45</c:v>
                </c:pt>
                <c:pt idx="85">
                  <c:v>81.28</c:v>
                </c:pt>
                <c:pt idx="86">
                  <c:v>80.150000000000006</c:v>
                </c:pt>
                <c:pt idx="87">
                  <c:v>79.08</c:v>
                </c:pt>
                <c:pt idx="88">
                  <c:v>78.040000000000006</c:v>
                </c:pt>
                <c:pt idx="89">
                  <c:v>77.05</c:v>
                </c:pt>
                <c:pt idx="90">
                  <c:v>76.09</c:v>
                </c:pt>
                <c:pt idx="91">
                  <c:v>75.180000000000007</c:v>
                </c:pt>
                <c:pt idx="92">
                  <c:v>75</c:v>
                </c:pt>
                <c:pt idx="93">
                  <c:v>75</c:v>
                </c:pt>
                <c:pt idx="94">
                  <c:v>75</c:v>
                </c:pt>
                <c:pt idx="95">
                  <c:v>75</c:v>
                </c:pt>
                <c:pt idx="96">
                  <c:v>75</c:v>
                </c:pt>
                <c:pt idx="97">
                  <c:v>75</c:v>
                </c:pt>
                <c:pt idx="98">
                  <c:v>75</c:v>
                </c:pt>
              </c:numCache>
            </c:numRef>
          </c:yVal>
          <c:smooth val="1"/>
        </c:ser>
        <c:ser>
          <c:idx val="3"/>
          <c:order val="1"/>
          <c:tx>
            <c:v>2+ Major &amp; 2+ Minor</c:v>
          </c:tx>
          <c:spPr>
            <a:ln w="12700" cmpd="sng">
              <a:solidFill>
                <a:srgbClr val="0000FF"/>
              </a:solidFill>
            </a:ln>
          </c:spPr>
          <c:marker>
            <c:symbol val="none"/>
          </c:marker>
          <c:xVal>
            <c:numRef>
              <c:f>W3Calc!$X$5:$X$105</c:f>
              <c:numCache>
                <c:formatCode>0</c:formatCode>
                <c:ptCount val="101"/>
                <c:pt idx="0">
                  <c:v>300</c:v>
                </c:pt>
                <c:pt idx="1">
                  <c:v>310</c:v>
                </c:pt>
                <c:pt idx="2">
                  <c:v>320</c:v>
                </c:pt>
                <c:pt idx="3">
                  <c:v>330</c:v>
                </c:pt>
                <c:pt idx="4">
                  <c:v>340</c:v>
                </c:pt>
                <c:pt idx="5">
                  <c:v>350</c:v>
                </c:pt>
                <c:pt idx="6">
                  <c:v>360</c:v>
                </c:pt>
                <c:pt idx="7">
                  <c:v>370</c:v>
                </c:pt>
                <c:pt idx="8">
                  <c:v>380</c:v>
                </c:pt>
                <c:pt idx="9">
                  <c:v>390</c:v>
                </c:pt>
                <c:pt idx="10">
                  <c:v>400</c:v>
                </c:pt>
                <c:pt idx="11">
                  <c:v>410</c:v>
                </c:pt>
                <c:pt idx="12">
                  <c:v>420</c:v>
                </c:pt>
                <c:pt idx="13">
                  <c:v>430</c:v>
                </c:pt>
                <c:pt idx="14">
                  <c:v>440</c:v>
                </c:pt>
                <c:pt idx="15">
                  <c:v>450</c:v>
                </c:pt>
                <c:pt idx="16">
                  <c:v>460</c:v>
                </c:pt>
                <c:pt idx="17">
                  <c:v>470</c:v>
                </c:pt>
                <c:pt idx="18">
                  <c:v>480</c:v>
                </c:pt>
                <c:pt idx="19">
                  <c:v>490</c:v>
                </c:pt>
                <c:pt idx="20">
                  <c:v>500</c:v>
                </c:pt>
                <c:pt idx="21">
                  <c:v>510</c:v>
                </c:pt>
                <c:pt idx="22">
                  <c:v>520</c:v>
                </c:pt>
                <c:pt idx="23">
                  <c:v>530</c:v>
                </c:pt>
                <c:pt idx="24">
                  <c:v>540</c:v>
                </c:pt>
                <c:pt idx="25">
                  <c:v>550</c:v>
                </c:pt>
                <c:pt idx="26">
                  <c:v>560</c:v>
                </c:pt>
                <c:pt idx="27">
                  <c:v>570</c:v>
                </c:pt>
                <c:pt idx="28">
                  <c:v>580</c:v>
                </c:pt>
                <c:pt idx="29">
                  <c:v>590</c:v>
                </c:pt>
                <c:pt idx="30">
                  <c:v>600</c:v>
                </c:pt>
                <c:pt idx="31">
                  <c:v>610</c:v>
                </c:pt>
                <c:pt idx="32">
                  <c:v>620</c:v>
                </c:pt>
                <c:pt idx="33">
                  <c:v>630</c:v>
                </c:pt>
                <c:pt idx="34">
                  <c:v>640</c:v>
                </c:pt>
                <c:pt idx="35">
                  <c:v>650</c:v>
                </c:pt>
                <c:pt idx="36">
                  <c:v>660</c:v>
                </c:pt>
                <c:pt idx="37">
                  <c:v>670</c:v>
                </c:pt>
                <c:pt idx="38">
                  <c:v>680</c:v>
                </c:pt>
                <c:pt idx="39">
                  <c:v>690</c:v>
                </c:pt>
                <c:pt idx="40">
                  <c:v>700</c:v>
                </c:pt>
                <c:pt idx="41">
                  <c:v>710</c:v>
                </c:pt>
                <c:pt idx="42">
                  <c:v>720</c:v>
                </c:pt>
                <c:pt idx="43">
                  <c:v>730</c:v>
                </c:pt>
                <c:pt idx="44">
                  <c:v>740</c:v>
                </c:pt>
                <c:pt idx="45">
                  <c:v>750</c:v>
                </c:pt>
                <c:pt idx="46">
                  <c:v>760</c:v>
                </c:pt>
                <c:pt idx="47">
                  <c:v>770</c:v>
                </c:pt>
                <c:pt idx="48">
                  <c:v>780</c:v>
                </c:pt>
                <c:pt idx="49">
                  <c:v>790</c:v>
                </c:pt>
                <c:pt idx="50">
                  <c:v>800</c:v>
                </c:pt>
                <c:pt idx="51">
                  <c:v>810</c:v>
                </c:pt>
                <c:pt idx="52">
                  <c:v>820</c:v>
                </c:pt>
                <c:pt idx="53">
                  <c:v>830</c:v>
                </c:pt>
                <c:pt idx="54">
                  <c:v>840</c:v>
                </c:pt>
                <c:pt idx="55">
                  <c:v>850</c:v>
                </c:pt>
                <c:pt idx="56">
                  <c:v>860</c:v>
                </c:pt>
                <c:pt idx="57">
                  <c:v>870</c:v>
                </c:pt>
                <c:pt idx="58">
                  <c:v>880</c:v>
                </c:pt>
                <c:pt idx="59">
                  <c:v>890</c:v>
                </c:pt>
                <c:pt idx="60">
                  <c:v>900</c:v>
                </c:pt>
                <c:pt idx="61">
                  <c:v>910</c:v>
                </c:pt>
                <c:pt idx="62">
                  <c:v>920</c:v>
                </c:pt>
                <c:pt idx="63">
                  <c:v>930</c:v>
                </c:pt>
                <c:pt idx="64">
                  <c:v>940</c:v>
                </c:pt>
                <c:pt idx="65">
                  <c:v>950</c:v>
                </c:pt>
                <c:pt idx="66">
                  <c:v>960</c:v>
                </c:pt>
                <c:pt idx="67">
                  <c:v>970</c:v>
                </c:pt>
                <c:pt idx="68">
                  <c:v>980</c:v>
                </c:pt>
                <c:pt idx="69">
                  <c:v>990</c:v>
                </c:pt>
                <c:pt idx="70">
                  <c:v>1000</c:v>
                </c:pt>
                <c:pt idx="71">
                  <c:v>1010</c:v>
                </c:pt>
                <c:pt idx="72">
                  <c:v>1020</c:v>
                </c:pt>
                <c:pt idx="73">
                  <c:v>1030</c:v>
                </c:pt>
                <c:pt idx="74">
                  <c:v>1040</c:v>
                </c:pt>
                <c:pt idx="75">
                  <c:v>1050</c:v>
                </c:pt>
                <c:pt idx="76">
                  <c:v>1060</c:v>
                </c:pt>
                <c:pt idx="77">
                  <c:v>1070</c:v>
                </c:pt>
                <c:pt idx="78">
                  <c:v>1080</c:v>
                </c:pt>
                <c:pt idx="79">
                  <c:v>1090</c:v>
                </c:pt>
                <c:pt idx="80">
                  <c:v>1100</c:v>
                </c:pt>
                <c:pt idx="81">
                  <c:v>1110</c:v>
                </c:pt>
                <c:pt idx="82">
                  <c:v>1120</c:v>
                </c:pt>
                <c:pt idx="83">
                  <c:v>1130</c:v>
                </c:pt>
                <c:pt idx="84">
                  <c:v>1140</c:v>
                </c:pt>
                <c:pt idx="85">
                  <c:v>1150</c:v>
                </c:pt>
                <c:pt idx="86">
                  <c:v>1160</c:v>
                </c:pt>
                <c:pt idx="87">
                  <c:v>1170</c:v>
                </c:pt>
                <c:pt idx="88">
                  <c:v>1180</c:v>
                </c:pt>
                <c:pt idx="89">
                  <c:v>1190</c:v>
                </c:pt>
                <c:pt idx="90">
                  <c:v>1200</c:v>
                </c:pt>
                <c:pt idx="91">
                  <c:v>1210</c:v>
                </c:pt>
                <c:pt idx="92">
                  <c:v>1220</c:v>
                </c:pt>
                <c:pt idx="93">
                  <c:v>1230</c:v>
                </c:pt>
                <c:pt idx="94">
                  <c:v>1240</c:v>
                </c:pt>
                <c:pt idx="95">
                  <c:v>1250</c:v>
                </c:pt>
                <c:pt idx="96">
                  <c:v>1260</c:v>
                </c:pt>
                <c:pt idx="97">
                  <c:v>1270</c:v>
                </c:pt>
                <c:pt idx="98">
                  <c:v>1280</c:v>
                </c:pt>
                <c:pt idx="99">
                  <c:v>1290</c:v>
                </c:pt>
                <c:pt idx="100">
                  <c:v>1300</c:v>
                </c:pt>
              </c:numCache>
            </c:numRef>
          </c:xVal>
          <c:yVal>
            <c:numRef>
              <c:f>W3Calc!$Y$5:$Y$105</c:f>
              <c:numCache>
                <c:formatCode>0.00</c:formatCode>
                <c:ptCount val="101"/>
                <c:pt idx="12">
                  <c:v>422.45</c:v>
                </c:pt>
                <c:pt idx="13">
                  <c:v>415.6</c:v>
                </c:pt>
                <c:pt idx="14">
                  <c:v>408.83</c:v>
                </c:pt>
                <c:pt idx="15">
                  <c:v>402.13</c:v>
                </c:pt>
                <c:pt idx="16">
                  <c:v>395.5</c:v>
                </c:pt>
                <c:pt idx="17">
                  <c:v>388.94</c:v>
                </c:pt>
                <c:pt idx="18">
                  <c:v>382.45</c:v>
                </c:pt>
                <c:pt idx="19">
                  <c:v>376.03</c:v>
                </c:pt>
                <c:pt idx="20">
                  <c:v>369.68</c:v>
                </c:pt>
                <c:pt idx="21">
                  <c:v>363.41</c:v>
                </c:pt>
                <c:pt idx="22">
                  <c:v>357.2</c:v>
                </c:pt>
                <c:pt idx="23">
                  <c:v>351.06</c:v>
                </c:pt>
                <c:pt idx="24">
                  <c:v>345</c:v>
                </c:pt>
                <c:pt idx="25">
                  <c:v>339</c:v>
                </c:pt>
                <c:pt idx="26">
                  <c:v>333.08</c:v>
                </c:pt>
                <c:pt idx="27">
                  <c:v>327.22000000000003</c:v>
                </c:pt>
                <c:pt idx="28">
                  <c:v>321.43</c:v>
                </c:pt>
                <c:pt idx="29">
                  <c:v>315.70999999999998</c:v>
                </c:pt>
                <c:pt idx="30">
                  <c:v>310.07</c:v>
                </c:pt>
                <c:pt idx="31">
                  <c:v>304.49</c:v>
                </c:pt>
                <c:pt idx="32">
                  <c:v>298.98</c:v>
                </c:pt>
                <c:pt idx="33">
                  <c:v>293.54000000000002</c:v>
                </c:pt>
                <c:pt idx="34">
                  <c:v>288.16000000000003</c:v>
                </c:pt>
                <c:pt idx="35">
                  <c:v>282.86</c:v>
                </c:pt>
                <c:pt idx="36">
                  <c:v>277.63</c:v>
                </c:pt>
                <c:pt idx="37">
                  <c:v>272.45999999999998</c:v>
                </c:pt>
                <c:pt idx="38">
                  <c:v>267.36</c:v>
                </c:pt>
                <c:pt idx="39">
                  <c:v>262.33999999999997</c:v>
                </c:pt>
                <c:pt idx="40">
                  <c:v>257.38</c:v>
                </c:pt>
                <c:pt idx="41">
                  <c:v>252.49</c:v>
                </c:pt>
                <c:pt idx="42">
                  <c:v>247.66</c:v>
                </c:pt>
                <c:pt idx="43">
                  <c:v>242.91</c:v>
                </c:pt>
                <c:pt idx="44">
                  <c:v>238.23</c:v>
                </c:pt>
                <c:pt idx="45">
                  <c:v>233.61</c:v>
                </c:pt>
                <c:pt idx="46">
                  <c:v>229.07</c:v>
                </c:pt>
                <c:pt idx="47">
                  <c:v>224.59</c:v>
                </c:pt>
                <c:pt idx="48">
                  <c:v>220.19</c:v>
                </c:pt>
                <c:pt idx="49">
                  <c:v>215.85</c:v>
                </c:pt>
                <c:pt idx="50">
                  <c:v>211.58</c:v>
                </c:pt>
                <c:pt idx="51">
                  <c:v>207.38</c:v>
                </c:pt>
                <c:pt idx="52">
                  <c:v>203.25</c:v>
                </c:pt>
                <c:pt idx="53">
                  <c:v>199.19</c:v>
                </c:pt>
                <c:pt idx="54">
                  <c:v>195.2</c:v>
                </c:pt>
                <c:pt idx="55">
                  <c:v>191.28</c:v>
                </c:pt>
                <c:pt idx="56">
                  <c:v>187.43</c:v>
                </c:pt>
                <c:pt idx="57">
                  <c:v>183.65</c:v>
                </c:pt>
                <c:pt idx="58">
                  <c:v>179.95</c:v>
                </c:pt>
                <c:pt idx="59">
                  <c:v>176.31</c:v>
                </c:pt>
                <c:pt idx="60">
                  <c:v>172.74</c:v>
                </c:pt>
                <c:pt idx="61">
                  <c:v>169.25</c:v>
                </c:pt>
                <c:pt idx="62">
                  <c:v>165.82</c:v>
                </c:pt>
                <c:pt idx="63">
                  <c:v>162.47</c:v>
                </c:pt>
                <c:pt idx="64">
                  <c:v>159.19</c:v>
                </c:pt>
                <c:pt idx="65">
                  <c:v>155.97999999999999</c:v>
                </c:pt>
                <c:pt idx="66">
                  <c:v>152.85</c:v>
                </c:pt>
                <c:pt idx="67">
                  <c:v>149.78</c:v>
                </c:pt>
                <c:pt idx="68">
                  <c:v>146.79</c:v>
                </c:pt>
                <c:pt idx="69">
                  <c:v>143.88</c:v>
                </c:pt>
                <c:pt idx="70">
                  <c:v>141.03</c:v>
                </c:pt>
                <c:pt idx="71">
                  <c:v>138.26</c:v>
                </c:pt>
                <c:pt idx="72">
                  <c:v>135.57</c:v>
                </c:pt>
                <c:pt idx="73">
                  <c:v>132.94999999999999</c:v>
                </c:pt>
                <c:pt idx="74">
                  <c:v>130.4</c:v>
                </c:pt>
                <c:pt idx="75">
                  <c:v>127.93</c:v>
                </c:pt>
                <c:pt idx="76">
                  <c:v>125.54</c:v>
                </c:pt>
                <c:pt idx="77">
                  <c:v>123.22</c:v>
                </c:pt>
                <c:pt idx="78">
                  <c:v>120.98</c:v>
                </c:pt>
                <c:pt idx="79">
                  <c:v>118.81</c:v>
                </c:pt>
                <c:pt idx="80">
                  <c:v>116.72</c:v>
                </c:pt>
                <c:pt idx="81">
                  <c:v>114.71</c:v>
                </c:pt>
                <c:pt idx="82">
                  <c:v>112.78</c:v>
                </c:pt>
                <c:pt idx="83">
                  <c:v>110.93</c:v>
                </c:pt>
                <c:pt idx="84">
                  <c:v>109.15</c:v>
                </c:pt>
                <c:pt idx="85">
                  <c:v>107.46</c:v>
                </c:pt>
                <c:pt idx="86">
                  <c:v>105.84</c:v>
                </c:pt>
                <c:pt idx="87">
                  <c:v>104.31</c:v>
                </c:pt>
                <c:pt idx="88">
                  <c:v>102.85</c:v>
                </c:pt>
                <c:pt idx="89">
                  <c:v>101.48</c:v>
                </c:pt>
                <c:pt idx="90">
                  <c:v>100.19</c:v>
                </c:pt>
                <c:pt idx="91">
                  <c:v>100</c:v>
                </c:pt>
                <c:pt idx="92">
                  <c:v>100</c:v>
                </c:pt>
                <c:pt idx="93">
                  <c:v>100</c:v>
                </c:pt>
                <c:pt idx="94">
                  <c:v>100</c:v>
                </c:pt>
                <c:pt idx="95">
                  <c:v>100</c:v>
                </c:pt>
                <c:pt idx="96">
                  <c:v>100</c:v>
                </c:pt>
                <c:pt idx="97">
                  <c:v>100</c:v>
                </c:pt>
                <c:pt idx="98">
                  <c:v>100</c:v>
                </c:pt>
                <c:pt idx="99">
                  <c:v>100</c:v>
                </c:pt>
                <c:pt idx="100">
                  <c:v>100</c:v>
                </c:pt>
              </c:numCache>
            </c:numRef>
          </c:yVal>
          <c:smooth val="1"/>
        </c:ser>
        <c:ser>
          <c:idx val="4"/>
          <c:order val="2"/>
          <c:tx>
            <c:v>2+ Major &amp; 1 Minor</c:v>
          </c:tx>
          <c:spPr>
            <a:ln w="12700">
              <a:solidFill>
                <a:srgbClr val="00B050"/>
              </a:solidFill>
              <a:prstDash val="sysDash"/>
            </a:ln>
          </c:spPr>
          <c:marker>
            <c:symbol val="none"/>
          </c:marker>
          <c:xVal>
            <c:numRef>
              <c:f>W3Calc!$X$5:$X$105</c:f>
              <c:numCache>
                <c:formatCode>0</c:formatCode>
                <c:ptCount val="101"/>
                <c:pt idx="0">
                  <c:v>300</c:v>
                </c:pt>
                <c:pt idx="1">
                  <c:v>310</c:v>
                </c:pt>
                <c:pt idx="2">
                  <c:v>320</c:v>
                </c:pt>
                <c:pt idx="3">
                  <c:v>330</c:v>
                </c:pt>
                <c:pt idx="4">
                  <c:v>340</c:v>
                </c:pt>
                <c:pt idx="5">
                  <c:v>350</c:v>
                </c:pt>
                <c:pt idx="6">
                  <c:v>360</c:v>
                </c:pt>
                <c:pt idx="7">
                  <c:v>370</c:v>
                </c:pt>
                <c:pt idx="8">
                  <c:v>380</c:v>
                </c:pt>
                <c:pt idx="9">
                  <c:v>390</c:v>
                </c:pt>
                <c:pt idx="10">
                  <c:v>400</c:v>
                </c:pt>
                <c:pt idx="11">
                  <c:v>410</c:v>
                </c:pt>
                <c:pt idx="12">
                  <c:v>420</c:v>
                </c:pt>
                <c:pt idx="13">
                  <c:v>430</c:v>
                </c:pt>
                <c:pt idx="14">
                  <c:v>440</c:v>
                </c:pt>
                <c:pt idx="15">
                  <c:v>450</c:v>
                </c:pt>
                <c:pt idx="16">
                  <c:v>460</c:v>
                </c:pt>
                <c:pt idx="17">
                  <c:v>470</c:v>
                </c:pt>
                <c:pt idx="18">
                  <c:v>480</c:v>
                </c:pt>
                <c:pt idx="19">
                  <c:v>490</c:v>
                </c:pt>
                <c:pt idx="20">
                  <c:v>500</c:v>
                </c:pt>
                <c:pt idx="21">
                  <c:v>510</c:v>
                </c:pt>
                <c:pt idx="22">
                  <c:v>520</c:v>
                </c:pt>
                <c:pt idx="23">
                  <c:v>530</c:v>
                </c:pt>
                <c:pt idx="24">
                  <c:v>540</c:v>
                </c:pt>
                <c:pt idx="25">
                  <c:v>550</c:v>
                </c:pt>
                <c:pt idx="26">
                  <c:v>560</c:v>
                </c:pt>
                <c:pt idx="27">
                  <c:v>570</c:v>
                </c:pt>
                <c:pt idx="28">
                  <c:v>580</c:v>
                </c:pt>
                <c:pt idx="29">
                  <c:v>590</c:v>
                </c:pt>
                <c:pt idx="30">
                  <c:v>600</c:v>
                </c:pt>
                <c:pt idx="31">
                  <c:v>610</c:v>
                </c:pt>
                <c:pt idx="32">
                  <c:v>620</c:v>
                </c:pt>
                <c:pt idx="33">
                  <c:v>630</c:v>
                </c:pt>
                <c:pt idx="34">
                  <c:v>640</c:v>
                </c:pt>
                <c:pt idx="35">
                  <c:v>650</c:v>
                </c:pt>
                <c:pt idx="36">
                  <c:v>660</c:v>
                </c:pt>
                <c:pt idx="37">
                  <c:v>670</c:v>
                </c:pt>
                <c:pt idx="38">
                  <c:v>680</c:v>
                </c:pt>
                <c:pt idx="39">
                  <c:v>690</c:v>
                </c:pt>
                <c:pt idx="40">
                  <c:v>700</c:v>
                </c:pt>
                <c:pt idx="41">
                  <c:v>710</c:v>
                </c:pt>
                <c:pt idx="42">
                  <c:v>720</c:v>
                </c:pt>
                <c:pt idx="43">
                  <c:v>730</c:v>
                </c:pt>
                <c:pt idx="44">
                  <c:v>740</c:v>
                </c:pt>
                <c:pt idx="45">
                  <c:v>750</c:v>
                </c:pt>
                <c:pt idx="46">
                  <c:v>760</c:v>
                </c:pt>
                <c:pt idx="47">
                  <c:v>770</c:v>
                </c:pt>
                <c:pt idx="48">
                  <c:v>780</c:v>
                </c:pt>
                <c:pt idx="49">
                  <c:v>790</c:v>
                </c:pt>
                <c:pt idx="50">
                  <c:v>800</c:v>
                </c:pt>
                <c:pt idx="51">
                  <c:v>810</c:v>
                </c:pt>
                <c:pt idx="52">
                  <c:v>820</c:v>
                </c:pt>
                <c:pt idx="53">
                  <c:v>830</c:v>
                </c:pt>
                <c:pt idx="54">
                  <c:v>840</c:v>
                </c:pt>
                <c:pt idx="55">
                  <c:v>850</c:v>
                </c:pt>
                <c:pt idx="56">
                  <c:v>860</c:v>
                </c:pt>
                <c:pt idx="57">
                  <c:v>870</c:v>
                </c:pt>
                <c:pt idx="58">
                  <c:v>880</c:v>
                </c:pt>
                <c:pt idx="59">
                  <c:v>890</c:v>
                </c:pt>
                <c:pt idx="60">
                  <c:v>900</c:v>
                </c:pt>
                <c:pt idx="61">
                  <c:v>910</c:v>
                </c:pt>
                <c:pt idx="62">
                  <c:v>920</c:v>
                </c:pt>
                <c:pt idx="63">
                  <c:v>930</c:v>
                </c:pt>
                <c:pt idx="64">
                  <c:v>940</c:v>
                </c:pt>
                <c:pt idx="65">
                  <c:v>950</c:v>
                </c:pt>
                <c:pt idx="66">
                  <c:v>960</c:v>
                </c:pt>
                <c:pt idx="67">
                  <c:v>970</c:v>
                </c:pt>
                <c:pt idx="68">
                  <c:v>980</c:v>
                </c:pt>
                <c:pt idx="69">
                  <c:v>990</c:v>
                </c:pt>
                <c:pt idx="70">
                  <c:v>1000</c:v>
                </c:pt>
                <c:pt idx="71">
                  <c:v>1010</c:v>
                </c:pt>
                <c:pt idx="72">
                  <c:v>1020</c:v>
                </c:pt>
                <c:pt idx="73">
                  <c:v>1030</c:v>
                </c:pt>
                <c:pt idx="74">
                  <c:v>1040</c:v>
                </c:pt>
                <c:pt idx="75">
                  <c:v>1050</c:v>
                </c:pt>
                <c:pt idx="76">
                  <c:v>1060</c:v>
                </c:pt>
                <c:pt idx="77">
                  <c:v>1070</c:v>
                </c:pt>
                <c:pt idx="78">
                  <c:v>1080</c:v>
                </c:pt>
                <c:pt idx="79">
                  <c:v>1090</c:v>
                </c:pt>
                <c:pt idx="80">
                  <c:v>1100</c:v>
                </c:pt>
                <c:pt idx="81">
                  <c:v>1110</c:v>
                </c:pt>
                <c:pt idx="82">
                  <c:v>1120</c:v>
                </c:pt>
                <c:pt idx="83">
                  <c:v>1130</c:v>
                </c:pt>
                <c:pt idx="84">
                  <c:v>1140</c:v>
                </c:pt>
                <c:pt idx="85">
                  <c:v>1150</c:v>
                </c:pt>
                <c:pt idx="86">
                  <c:v>1160</c:v>
                </c:pt>
                <c:pt idx="87">
                  <c:v>1170</c:v>
                </c:pt>
                <c:pt idx="88">
                  <c:v>1180</c:v>
                </c:pt>
                <c:pt idx="89">
                  <c:v>1190</c:v>
                </c:pt>
                <c:pt idx="90">
                  <c:v>1200</c:v>
                </c:pt>
                <c:pt idx="91">
                  <c:v>1210</c:v>
                </c:pt>
                <c:pt idx="92">
                  <c:v>1220</c:v>
                </c:pt>
                <c:pt idx="93">
                  <c:v>1230</c:v>
                </c:pt>
                <c:pt idx="94">
                  <c:v>1240</c:v>
                </c:pt>
                <c:pt idx="95">
                  <c:v>1250</c:v>
                </c:pt>
                <c:pt idx="96">
                  <c:v>1260</c:v>
                </c:pt>
                <c:pt idx="97">
                  <c:v>1270</c:v>
                </c:pt>
                <c:pt idx="98">
                  <c:v>1280</c:v>
                </c:pt>
                <c:pt idx="99">
                  <c:v>1290</c:v>
                </c:pt>
                <c:pt idx="100">
                  <c:v>1300</c:v>
                </c:pt>
              </c:numCache>
            </c:numRef>
          </c:xVal>
          <c:yVal>
            <c:numRef>
              <c:f>W3Calc!$Z$5:$Z$105</c:f>
              <c:numCache>
                <c:formatCode>0.00</c:formatCode>
                <c:ptCount val="101"/>
                <c:pt idx="6">
                  <c:v>352.14</c:v>
                </c:pt>
                <c:pt idx="7">
                  <c:v>347.34</c:v>
                </c:pt>
                <c:pt idx="8">
                  <c:v>342.53</c:v>
                </c:pt>
                <c:pt idx="9">
                  <c:v>337.71</c:v>
                </c:pt>
                <c:pt idx="10">
                  <c:v>332.9</c:v>
                </c:pt>
                <c:pt idx="11">
                  <c:v>328.08</c:v>
                </c:pt>
                <c:pt idx="12">
                  <c:v>323.27</c:v>
                </c:pt>
                <c:pt idx="13">
                  <c:v>318.47000000000003</c:v>
                </c:pt>
                <c:pt idx="14">
                  <c:v>313.67</c:v>
                </c:pt>
                <c:pt idx="15">
                  <c:v>308.88</c:v>
                </c:pt>
                <c:pt idx="16">
                  <c:v>304.11</c:v>
                </c:pt>
                <c:pt idx="17">
                  <c:v>299.35000000000002</c:v>
                </c:pt>
                <c:pt idx="18">
                  <c:v>294.61</c:v>
                </c:pt>
                <c:pt idx="19">
                  <c:v>289.88</c:v>
                </c:pt>
                <c:pt idx="20">
                  <c:v>285.18</c:v>
                </c:pt>
                <c:pt idx="21">
                  <c:v>280.5</c:v>
                </c:pt>
                <c:pt idx="22">
                  <c:v>275.85000000000002</c:v>
                </c:pt>
                <c:pt idx="23">
                  <c:v>271.22000000000003</c:v>
                </c:pt>
                <c:pt idx="24">
                  <c:v>266.63</c:v>
                </c:pt>
                <c:pt idx="25">
                  <c:v>262.06</c:v>
                </c:pt>
                <c:pt idx="26">
                  <c:v>257.52999999999997</c:v>
                </c:pt>
                <c:pt idx="27">
                  <c:v>253.03</c:v>
                </c:pt>
                <c:pt idx="28">
                  <c:v>248.56</c:v>
                </c:pt>
                <c:pt idx="29">
                  <c:v>244.14</c:v>
                </c:pt>
                <c:pt idx="30">
                  <c:v>239.75</c:v>
                </c:pt>
                <c:pt idx="31">
                  <c:v>235.41</c:v>
                </c:pt>
                <c:pt idx="32">
                  <c:v>231.1</c:v>
                </c:pt>
                <c:pt idx="33">
                  <c:v>226.84</c:v>
                </c:pt>
                <c:pt idx="34">
                  <c:v>222.63</c:v>
                </c:pt>
                <c:pt idx="35">
                  <c:v>218.46</c:v>
                </c:pt>
                <c:pt idx="36">
                  <c:v>214.33</c:v>
                </c:pt>
                <c:pt idx="37">
                  <c:v>210.26</c:v>
                </c:pt>
                <c:pt idx="38">
                  <c:v>206.24</c:v>
                </c:pt>
                <c:pt idx="39">
                  <c:v>202.27</c:v>
                </c:pt>
                <c:pt idx="40">
                  <c:v>198.35</c:v>
                </c:pt>
                <c:pt idx="41">
                  <c:v>194.48</c:v>
                </c:pt>
                <c:pt idx="42">
                  <c:v>190.67</c:v>
                </c:pt>
                <c:pt idx="43">
                  <c:v>186.91</c:v>
                </c:pt>
                <c:pt idx="44">
                  <c:v>183.21</c:v>
                </c:pt>
                <c:pt idx="45">
                  <c:v>179.56</c:v>
                </c:pt>
                <c:pt idx="46">
                  <c:v>175.97</c:v>
                </c:pt>
                <c:pt idx="47">
                  <c:v>172.44</c:v>
                </c:pt>
                <c:pt idx="48">
                  <c:v>168.97</c:v>
                </c:pt>
                <c:pt idx="49">
                  <c:v>165.56</c:v>
                </c:pt>
                <c:pt idx="50">
                  <c:v>162.21</c:v>
                </c:pt>
                <c:pt idx="51">
                  <c:v>158.91999999999999</c:v>
                </c:pt>
                <c:pt idx="52">
                  <c:v>155.69</c:v>
                </c:pt>
                <c:pt idx="53">
                  <c:v>152.52000000000001</c:v>
                </c:pt>
                <c:pt idx="54">
                  <c:v>149.41999999999999</c:v>
                </c:pt>
                <c:pt idx="55">
                  <c:v>146.37</c:v>
                </c:pt>
                <c:pt idx="56">
                  <c:v>143.38999999999999</c:v>
                </c:pt>
                <c:pt idx="57">
                  <c:v>140.47</c:v>
                </c:pt>
                <c:pt idx="58">
                  <c:v>137.62</c:v>
                </c:pt>
                <c:pt idx="59">
                  <c:v>134.82</c:v>
                </c:pt>
                <c:pt idx="60">
                  <c:v>132.09</c:v>
                </c:pt>
                <c:pt idx="61">
                  <c:v>129.43</c:v>
                </c:pt>
                <c:pt idx="62">
                  <c:v>126.83</c:v>
                </c:pt>
                <c:pt idx="63">
                  <c:v>124.29</c:v>
                </c:pt>
                <c:pt idx="64">
                  <c:v>121.81</c:v>
                </c:pt>
                <c:pt idx="65">
                  <c:v>119.4</c:v>
                </c:pt>
                <c:pt idx="66">
                  <c:v>117.05</c:v>
                </c:pt>
                <c:pt idx="67">
                  <c:v>114.76</c:v>
                </c:pt>
                <c:pt idx="68">
                  <c:v>112.53</c:v>
                </c:pt>
                <c:pt idx="69">
                  <c:v>110.37</c:v>
                </c:pt>
                <c:pt idx="70">
                  <c:v>108.26</c:v>
                </c:pt>
                <c:pt idx="71">
                  <c:v>106.22</c:v>
                </c:pt>
                <c:pt idx="72">
                  <c:v>104.24</c:v>
                </c:pt>
                <c:pt idx="73">
                  <c:v>102.32</c:v>
                </c:pt>
                <c:pt idx="74">
                  <c:v>100.46</c:v>
                </c:pt>
                <c:pt idx="75">
                  <c:v>100</c:v>
                </c:pt>
                <c:pt idx="76">
                  <c:v>100</c:v>
                </c:pt>
                <c:pt idx="77">
                  <c:v>100</c:v>
                </c:pt>
                <c:pt idx="78">
                  <c:v>100</c:v>
                </c:pt>
                <c:pt idx="79">
                  <c:v>100</c:v>
                </c:pt>
                <c:pt idx="80">
                  <c:v>100</c:v>
                </c:pt>
                <c:pt idx="81">
                  <c:v>100</c:v>
                </c:pt>
                <c:pt idx="82">
                  <c:v>100</c:v>
                </c:pt>
                <c:pt idx="83">
                  <c:v>100</c:v>
                </c:pt>
                <c:pt idx="84">
                  <c:v>100</c:v>
                </c:pt>
                <c:pt idx="85">
                  <c:v>100</c:v>
                </c:pt>
                <c:pt idx="86">
                  <c:v>100</c:v>
                </c:pt>
                <c:pt idx="87">
                  <c:v>100</c:v>
                </c:pt>
                <c:pt idx="88">
                  <c:v>100</c:v>
                </c:pt>
                <c:pt idx="89">
                  <c:v>100</c:v>
                </c:pt>
                <c:pt idx="90">
                  <c:v>100</c:v>
                </c:pt>
                <c:pt idx="91">
                  <c:v>100</c:v>
                </c:pt>
                <c:pt idx="92">
                  <c:v>100</c:v>
                </c:pt>
                <c:pt idx="93">
                  <c:v>100</c:v>
                </c:pt>
                <c:pt idx="94">
                  <c:v>100</c:v>
                </c:pt>
                <c:pt idx="95">
                  <c:v>100</c:v>
                </c:pt>
                <c:pt idx="96">
                  <c:v>100</c:v>
                </c:pt>
                <c:pt idx="97">
                  <c:v>100</c:v>
                </c:pt>
                <c:pt idx="98">
                  <c:v>100</c:v>
                </c:pt>
                <c:pt idx="99">
                  <c:v>100</c:v>
                </c:pt>
                <c:pt idx="100">
                  <c:v>100</c:v>
                </c:pt>
              </c:numCache>
            </c:numRef>
          </c:yVal>
          <c:smooth val="1"/>
        </c:ser>
        <c:ser>
          <c:idx val="5"/>
          <c:order val="3"/>
          <c:tx>
            <c:v>1 Major &amp; 2+ Minor</c:v>
          </c:tx>
          <c:spPr>
            <a:ln w="12700">
              <a:solidFill>
                <a:srgbClr val="C00000"/>
              </a:solidFill>
              <a:prstDash val="sysDash"/>
            </a:ln>
          </c:spPr>
          <c:marker>
            <c:symbol val="none"/>
          </c:marker>
          <c:xVal>
            <c:numRef>
              <c:f>W3Calc!$X$5:$X$105</c:f>
              <c:numCache>
                <c:formatCode>0</c:formatCode>
                <c:ptCount val="101"/>
                <c:pt idx="0">
                  <c:v>300</c:v>
                </c:pt>
                <c:pt idx="1">
                  <c:v>310</c:v>
                </c:pt>
                <c:pt idx="2">
                  <c:v>320</c:v>
                </c:pt>
                <c:pt idx="3">
                  <c:v>330</c:v>
                </c:pt>
                <c:pt idx="4">
                  <c:v>340</c:v>
                </c:pt>
                <c:pt idx="5">
                  <c:v>350</c:v>
                </c:pt>
                <c:pt idx="6">
                  <c:v>360</c:v>
                </c:pt>
                <c:pt idx="7">
                  <c:v>370</c:v>
                </c:pt>
                <c:pt idx="8">
                  <c:v>380</c:v>
                </c:pt>
                <c:pt idx="9">
                  <c:v>390</c:v>
                </c:pt>
                <c:pt idx="10">
                  <c:v>400</c:v>
                </c:pt>
                <c:pt idx="11">
                  <c:v>410</c:v>
                </c:pt>
                <c:pt idx="12">
                  <c:v>420</c:v>
                </c:pt>
                <c:pt idx="13">
                  <c:v>430</c:v>
                </c:pt>
                <c:pt idx="14">
                  <c:v>440</c:v>
                </c:pt>
                <c:pt idx="15">
                  <c:v>450</c:v>
                </c:pt>
                <c:pt idx="16">
                  <c:v>460</c:v>
                </c:pt>
                <c:pt idx="17">
                  <c:v>470</c:v>
                </c:pt>
                <c:pt idx="18">
                  <c:v>480</c:v>
                </c:pt>
                <c:pt idx="19">
                  <c:v>490</c:v>
                </c:pt>
                <c:pt idx="20">
                  <c:v>500</c:v>
                </c:pt>
                <c:pt idx="21">
                  <c:v>510</c:v>
                </c:pt>
                <c:pt idx="22">
                  <c:v>520</c:v>
                </c:pt>
                <c:pt idx="23">
                  <c:v>530</c:v>
                </c:pt>
                <c:pt idx="24">
                  <c:v>540</c:v>
                </c:pt>
                <c:pt idx="25">
                  <c:v>550</c:v>
                </c:pt>
                <c:pt idx="26">
                  <c:v>560</c:v>
                </c:pt>
                <c:pt idx="27">
                  <c:v>570</c:v>
                </c:pt>
                <c:pt idx="28">
                  <c:v>580</c:v>
                </c:pt>
                <c:pt idx="29">
                  <c:v>590</c:v>
                </c:pt>
                <c:pt idx="30">
                  <c:v>600</c:v>
                </c:pt>
                <c:pt idx="31">
                  <c:v>610</c:v>
                </c:pt>
                <c:pt idx="32">
                  <c:v>620</c:v>
                </c:pt>
                <c:pt idx="33">
                  <c:v>630</c:v>
                </c:pt>
                <c:pt idx="34">
                  <c:v>640</c:v>
                </c:pt>
                <c:pt idx="35">
                  <c:v>650</c:v>
                </c:pt>
                <c:pt idx="36">
                  <c:v>660</c:v>
                </c:pt>
                <c:pt idx="37">
                  <c:v>670</c:v>
                </c:pt>
                <c:pt idx="38">
                  <c:v>680</c:v>
                </c:pt>
                <c:pt idx="39">
                  <c:v>690</c:v>
                </c:pt>
                <c:pt idx="40">
                  <c:v>700</c:v>
                </c:pt>
                <c:pt idx="41">
                  <c:v>710</c:v>
                </c:pt>
                <c:pt idx="42">
                  <c:v>720</c:v>
                </c:pt>
                <c:pt idx="43">
                  <c:v>730</c:v>
                </c:pt>
                <c:pt idx="44">
                  <c:v>740</c:v>
                </c:pt>
                <c:pt idx="45">
                  <c:v>750</c:v>
                </c:pt>
                <c:pt idx="46">
                  <c:v>760</c:v>
                </c:pt>
                <c:pt idx="47">
                  <c:v>770</c:v>
                </c:pt>
                <c:pt idx="48">
                  <c:v>780</c:v>
                </c:pt>
                <c:pt idx="49">
                  <c:v>790</c:v>
                </c:pt>
                <c:pt idx="50">
                  <c:v>800</c:v>
                </c:pt>
                <c:pt idx="51">
                  <c:v>810</c:v>
                </c:pt>
                <c:pt idx="52">
                  <c:v>820</c:v>
                </c:pt>
                <c:pt idx="53">
                  <c:v>830</c:v>
                </c:pt>
                <c:pt idx="54">
                  <c:v>840</c:v>
                </c:pt>
                <c:pt idx="55">
                  <c:v>850</c:v>
                </c:pt>
                <c:pt idx="56">
                  <c:v>860</c:v>
                </c:pt>
                <c:pt idx="57">
                  <c:v>870</c:v>
                </c:pt>
                <c:pt idx="58">
                  <c:v>880</c:v>
                </c:pt>
                <c:pt idx="59">
                  <c:v>890</c:v>
                </c:pt>
                <c:pt idx="60">
                  <c:v>900</c:v>
                </c:pt>
                <c:pt idx="61">
                  <c:v>910</c:v>
                </c:pt>
                <c:pt idx="62">
                  <c:v>920</c:v>
                </c:pt>
                <c:pt idx="63">
                  <c:v>930</c:v>
                </c:pt>
                <c:pt idx="64">
                  <c:v>940</c:v>
                </c:pt>
                <c:pt idx="65">
                  <c:v>950</c:v>
                </c:pt>
                <c:pt idx="66">
                  <c:v>960</c:v>
                </c:pt>
                <c:pt idx="67">
                  <c:v>970</c:v>
                </c:pt>
                <c:pt idx="68">
                  <c:v>980</c:v>
                </c:pt>
                <c:pt idx="69">
                  <c:v>990</c:v>
                </c:pt>
                <c:pt idx="70">
                  <c:v>1000</c:v>
                </c:pt>
                <c:pt idx="71">
                  <c:v>1010</c:v>
                </c:pt>
                <c:pt idx="72">
                  <c:v>1020</c:v>
                </c:pt>
                <c:pt idx="73">
                  <c:v>1030</c:v>
                </c:pt>
                <c:pt idx="74">
                  <c:v>1040</c:v>
                </c:pt>
                <c:pt idx="75">
                  <c:v>1050</c:v>
                </c:pt>
                <c:pt idx="76">
                  <c:v>1060</c:v>
                </c:pt>
                <c:pt idx="77">
                  <c:v>1070</c:v>
                </c:pt>
                <c:pt idx="78">
                  <c:v>1080</c:v>
                </c:pt>
                <c:pt idx="79">
                  <c:v>1090</c:v>
                </c:pt>
                <c:pt idx="80">
                  <c:v>1100</c:v>
                </c:pt>
                <c:pt idx="81">
                  <c:v>1110</c:v>
                </c:pt>
                <c:pt idx="82">
                  <c:v>1120</c:v>
                </c:pt>
                <c:pt idx="83">
                  <c:v>1130</c:v>
                </c:pt>
                <c:pt idx="84">
                  <c:v>1140</c:v>
                </c:pt>
                <c:pt idx="85">
                  <c:v>1150</c:v>
                </c:pt>
                <c:pt idx="86">
                  <c:v>1160</c:v>
                </c:pt>
                <c:pt idx="87">
                  <c:v>1170</c:v>
                </c:pt>
                <c:pt idx="88">
                  <c:v>1180</c:v>
                </c:pt>
                <c:pt idx="89">
                  <c:v>1190</c:v>
                </c:pt>
                <c:pt idx="90">
                  <c:v>1200</c:v>
                </c:pt>
                <c:pt idx="91">
                  <c:v>1210</c:v>
                </c:pt>
                <c:pt idx="92">
                  <c:v>1220</c:v>
                </c:pt>
                <c:pt idx="93">
                  <c:v>1230</c:v>
                </c:pt>
                <c:pt idx="94">
                  <c:v>1240</c:v>
                </c:pt>
                <c:pt idx="95">
                  <c:v>1250</c:v>
                </c:pt>
                <c:pt idx="96">
                  <c:v>1260</c:v>
                </c:pt>
                <c:pt idx="97">
                  <c:v>1270</c:v>
                </c:pt>
                <c:pt idx="98">
                  <c:v>1280</c:v>
                </c:pt>
                <c:pt idx="99">
                  <c:v>1290</c:v>
                </c:pt>
                <c:pt idx="100">
                  <c:v>1300</c:v>
                </c:pt>
              </c:numCache>
            </c:numRef>
          </c:xVal>
          <c:yVal>
            <c:numRef>
              <c:f>W3Calc!$AA$5:$AA$105</c:f>
              <c:numCache>
                <c:formatCode>0.00</c:formatCode>
                <c:ptCount val="101"/>
                <c:pt idx="6">
                  <c:v>352.14</c:v>
                </c:pt>
                <c:pt idx="7">
                  <c:v>347.34</c:v>
                </c:pt>
                <c:pt idx="8">
                  <c:v>342.53</c:v>
                </c:pt>
                <c:pt idx="9">
                  <c:v>337.71</c:v>
                </c:pt>
                <c:pt idx="10">
                  <c:v>332.9</c:v>
                </c:pt>
                <c:pt idx="11">
                  <c:v>328.08</c:v>
                </c:pt>
                <c:pt idx="12">
                  <c:v>323.27</c:v>
                </c:pt>
                <c:pt idx="13">
                  <c:v>318.47000000000003</c:v>
                </c:pt>
                <c:pt idx="14">
                  <c:v>313.67</c:v>
                </c:pt>
                <c:pt idx="15">
                  <c:v>308.88</c:v>
                </c:pt>
                <c:pt idx="16">
                  <c:v>304.11</c:v>
                </c:pt>
                <c:pt idx="17">
                  <c:v>299.35000000000002</c:v>
                </c:pt>
                <c:pt idx="18">
                  <c:v>294.61</c:v>
                </c:pt>
                <c:pt idx="19">
                  <c:v>289.88</c:v>
                </c:pt>
                <c:pt idx="20">
                  <c:v>285.18</c:v>
                </c:pt>
                <c:pt idx="21">
                  <c:v>280.5</c:v>
                </c:pt>
                <c:pt idx="22">
                  <c:v>275.85000000000002</c:v>
                </c:pt>
                <c:pt idx="23">
                  <c:v>271.22000000000003</c:v>
                </c:pt>
                <c:pt idx="24">
                  <c:v>266.63</c:v>
                </c:pt>
                <c:pt idx="25">
                  <c:v>262.06</c:v>
                </c:pt>
                <c:pt idx="26">
                  <c:v>257.52999999999997</c:v>
                </c:pt>
                <c:pt idx="27">
                  <c:v>253.03</c:v>
                </c:pt>
                <c:pt idx="28">
                  <c:v>248.56</c:v>
                </c:pt>
                <c:pt idx="29">
                  <c:v>244.14</c:v>
                </c:pt>
                <c:pt idx="30">
                  <c:v>239.75</c:v>
                </c:pt>
                <c:pt idx="31">
                  <c:v>235.41</c:v>
                </c:pt>
                <c:pt idx="32">
                  <c:v>231.1</c:v>
                </c:pt>
                <c:pt idx="33">
                  <c:v>226.84</c:v>
                </c:pt>
                <c:pt idx="34">
                  <c:v>222.63</c:v>
                </c:pt>
                <c:pt idx="35">
                  <c:v>218.46</c:v>
                </c:pt>
                <c:pt idx="36">
                  <c:v>214.33</c:v>
                </c:pt>
                <c:pt idx="37">
                  <c:v>210.26</c:v>
                </c:pt>
                <c:pt idx="38">
                  <c:v>206.24</c:v>
                </c:pt>
                <c:pt idx="39">
                  <c:v>202.27</c:v>
                </c:pt>
                <c:pt idx="40">
                  <c:v>198.35</c:v>
                </c:pt>
                <c:pt idx="41">
                  <c:v>194.48</c:v>
                </c:pt>
                <c:pt idx="42">
                  <c:v>190.67</c:v>
                </c:pt>
                <c:pt idx="43">
                  <c:v>186.91</c:v>
                </c:pt>
                <c:pt idx="44">
                  <c:v>183.21</c:v>
                </c:pt>
                <c:pt idx="45">
                  <c:v>179.56</c:v>
                </c:pt>
                <c:pt idx="46">
                  <c:v>175.97</c:v>
                </c:pt>
                <c:pt idx="47">
                  <c:v>172.44</c:v>
                </c:pt>
                <c:pt idx="48">
                  <c:v>168.97</c:v>
                </c:pt>
                <c:pt idx="49">
                  <c:v>165.56</c:v>
                </c:pt>
                <c:pt idx="50">
                  <c:v>162.21</c:v>
                </c:pt>
                <c:pt idx="51">
                  <c:v>158.91999999999999</c:v>
                </c:pt>
                <c:pt idx="52">
                  <c:v>155.69</c:v>
                </c:pt>
                <c:pt idx="53">
                  <c:v>152.52000000000001</c:v>
                </c:pt>
                <c:pt idx="54">
                  <c:v>149.41999999999999</c:v>
                </c:pt>
                <c:pt idx="55">
                  <c:v>146.37</c:v>
                </c:pt>
                <c:pt idx="56">
                  <c:v>143.38999999999999</c:v>
                </c:pt>
                <c:pt idx="57">
                  <c:v>140.47</c:v>
                </c:pt>
                <c:pt idx="58">
                  <c:v>137.62</c:v>
                </c:pt>
                <c:pt idx="59">
                  <c:v>134.82</c:v>
                </c:pt>
                <c:pt idx="60">
                  <c:v>132.09</c:v>
                </c:pt>
                <c:pt idx="61">
                  <c:v>129.43</c:v>
                </c:pt>
                <c:pt idx="62">
                  <c:v>126.83</c:v>
                </c:pt>
                <c:pt idx="63">
                  <c:v>124.29</c:v>
                </c:pt>
                <c:pt idx="64">
                  <c:v>121.81</c:v>
                </c:pt>
                <c:pt idx="65">
                  <c:v>119.4</c:v>
                </c:pt>
                <c:pt idx="66">
                  <c:v>117.05</c:v>
                </c:pt>
                <c:pt idx="67">
                  <c:v>114.76</c:v>
                </c:pt>
                <c:pt idx="68">
                  <c:v>112.53</c:v>
                </c:pt>
                <c:pt idx="69">
                  <c:v>110.37</c:v>
                </c:pt>
                <c:pt idx="70">
                  <c:v>108.26</c:v>
                </c:pt>
                <c:pt idx="71">
                  <c:v>106.22</c:v>
                </c:pt>
                <c:pt idx="72">
                  <c:v>104.24</c:v>
                </c:pt>
                <c:pt idx="73">
                  <c:v>102.32</c:v>
                </c:pt>
                <c:pt idx="74">
                  <c:v>100.46</c:v>
                </c:pt>
                <c:pt idx="75">
                  <c:v>98.65</c:v>
                </c:pt>
                <c:pt idx="76">
                  <c:v>96.91</c:v>
                </c:pt>
                <c:pt idx="77">
                  <c:v>95.22</c:v>
                </c:pt>
                <c:pt idx="78">
                  <c:v>93.58</c:v>
                </c:pt>
                <c:pt idx="79">
                  <c:v>92.01</c:v>
                </c:pt>
                <c:pt idx="80">
                  <c:v>90.49</c:v>
                </c:pt>
                <c:pt idx="81">
                  <c:v>89.02</c:v>
                </c:pt>
                <c:pt idx="82">
                  <c:v>87.6</c:v>
                </c:pt>
                <c:pt idx="83">
                  <c:v>86.24</c:v>
                </c:pt>
                <c:pt idx="84">
                  <c:v>84.92</c:v>
                </c:pt>
                <c:pt idx="85">
                  <c:v>83.66</c:v>
                </c:pt>
                <c:pt idx="86">
                  <c:v>82.45</c:v>
                </c:pt>
                <c:pt idx="87">
                  <c:v>81.28</c:v>
                </c:pt>
                <c:pt idx="88">
                  <c:v>80.150000000000006</c:v>
                </c:pt>
                <c:pt idx="89">
                  <c:v>79.08</c:v>
                </c:pt>
                <c:pt idx="90">
                  <c:v>78.040000000000006</c:v>
                </c:pt>
                <c:pt idx="91">
                  <c:v>77.05</c:v>
                </c:pt>
                <c:pt idx="92">
                  <c:v>76.09</c:v>
                </c:pt>
                <c:pt idx="93">
                  <c:v>75.180000000000007</c:v>
                </c:pt>
                <c:pt idx="94">
                  <c:v>75</c:v>
                </c:pt>
                <c:pt idx="95">
                  <c:v>75</c:v>
                </c:pt>
                <c:pt idx="96">
                  <c:v>75</c:v>
                </c:pt>
                <c:pt idx="97">
                  <c:v>75</c:v>
                </c:pt>
                <c:pt idx="98">
                  <c:v>75</c:v>
                </c:pt>
                <c:pt idx="99">
                  <c:v>75</c:v>
                </c:pt>
                <c:pt idx="100">
                  <c:v>75</c:v>
                </c:pt>
              </c:numCache>
            </c:numRef>
          </c:yVal>
          <c:smooth val="1"/>
        </c:ser>
        <c:ser>
          <c:idx val="6"/>
          <c:order val="4"/>
          <c:tx>
            <c:v>1 Major &amp; 1 Minor</c:v>
          </c:tx>
          <c:spPr>
            <a:ln w="12700">
              <a:solidFill>
                <a:srgbClr val="FF66FF"/>
              </a:solidFill>
            </a:ln>
          </c:spPr>
          <c:marker>
            <c:symbol val="none"/>
          </c:marker>
          <c:xVal>
            <c:numRef>
              <c:f>W3Calc!$X$5:$X$105</c:f>
              <c:numCache>
                <c:formatCode>0</c:formatCode>
                <c:ptCount val="101"/>
                <c:pt idx="0">
                  <c:v>300</c:v>
                </c:pt>
                <c:pt idx="1">
                  <c:v>310</c:v>
                </c:pt>
                <c:pt idx="2">
                  <c:v>320</c:v>
                </c:pt>
                <c:pt idx="3">
                  <c:v>330</c:v>
                </c:pt>
                <c:pt idx="4">
                  <c:v>340</c:v>
                </c:pt>
                <c:pt idx="5">
                  <c:v>350</c:v>
                </c:pt>
                <c:pt idx="6">
                  <c:v>360</c:v>
                </c:pt>
                <c:pt idx="7">
                  <c:v>370</c:v>
                </c:pt>
                <c:pt idx="8">
                  <c:v>380</c:v>
                </c:pt>
                <c:pt idx="9">
                  <c:v>390</c:v>
                </c:pt>
                <c:pt idx="10">
                  <c:v>400</c:v>
                </c:pt>
                <c:pt idx="11">
                  <c:v>410</c:v>
                </c:pt>
                <c:pt idx="12">
                  <c:v>420</c:v>
                </c:pt>
                <c:pt idx="13">
                  <c:v>430</c:v>
                </c:pt>
                <c:pt idx="14">
                  <c:v>440</c:v>
                </c:pt>
                <c:pt idx="15">
                  <c:v>450</c:v>
                </c:pt>
                <c:pt idx="16">
                  <c:v>460</c:v>
                </c:pt>
                <c:pt idx="17">
                  <c:v>470</c:v>
                </c:pt>
                <c:pt idx="18">
                  <c:v>480</c:v>
                </c:pt>
                <c:pt idx="19">
                  <c:v>490</c:v>
                </c:pt>
                <c:pt idx="20">
                  <c:v>500</c:v>
                </c:pt>
                <c:pt idx="21">
                  <c:v>510</c:v>
                </c:pt>
                <c:pt idx="22">
                  <c:v>520</c:v>
                </c:pt>
                <c:pt idx="23">
                  <c:v>530</c:v>
                </c:pt>
                <c:pt idx="24">
                  <c:v>540</c:v>
                </c:pt>
                <c:pt idx="25">
                  <c:v>550</c:v>
                </c:pt>
                <c:pt idx="26">
                  <c:v>560</c:v>
                </c:pt>
                <c:pt idx="27">
                  <c:v>570</c:v>
                </c:pt>
                <c:pt idx="28">
                  <c:v>580</c:v>
                </c:pt>
                <c:pt idx="29">
                  <c:v>590</c:v>
                </c:pt>
                <c:pt idx="30">
                  <c:v>600</c:v>
                </c:pt>
                <c:pt idx="31">
                  <c:v>610</c:v>
                </c:pt>
                <c:pt idx="32">
                  <c:v>620</c:v>
                </c:pt>
                <c:pt idx="33">
                  <c:v>630</c:v>
                </c:pt>
                <c:pt idx="34">
                  <c:v>640</c:v>
                </c:pt>
                <c:pt idx="35">
                  <c:v>650</c:v>
                </c:pt>
                <c:pt idx="36">
                  <c:v>660</c:v>
                </c:pt>
                <c:pt idx="37">
                  <c:v>670</c:v>
                </c:pt>
                <c:pt idx="38">
                  <c:v>680</c:v>
                </c:pt>
                <c:pt idx="39">
                  <c:v>690</c:v>
                </c:pt>
                <c:pt idx="40">
                  <c:v>700</c:v>
                </c:pt>
                <c:pt idx="41">
                  <c:v>710</c:v>
                </c:pt>
                <c:pt idx="42">
                  <c:v>720</c:v>
                </c:pt>
                <c:pt idx="43">
                  <c:v>730</c:v>
                </c:pt>
                <c:pt idx="44">
                  <c:v>740</c:v>
                </c:pt>
                <c:pt idx="45">
                  <c:v>750</c:v>
                </c:pt>
                <c:pt idx="46">
                  <c:v>760</c:v>
                </c:pt>
                <c:pt idx="47">
                  <c:v>770</c:v>
                </c:pt>
                <c:pt idx="48">
                  <c:v>780</c:v>
                </c:pt>
                <c:pt idx="49">
                  <c:v>790</c:v>
                </c:pt>
                <c:pt idx="50">
                  <c:v>800</c:v>
                </c:pt>
                <c:pt idx="51">
                  <c:v>810</c:v>
                </c:pt>
                <c:pt idx="52">
                  <c:v>820</c:v>
                </c:pt>
                <c:pt idx="53">
                  <c:v>830</c:v>
                </c:pt>
                <c:pt idx="54">
                  <c:v>840</c:v>
                </c:pt>
                <c:pt idx="55">
                  <c:v>850</c:v>
                </c:pt>
                <c:pt idx="56">
                  <c:v>860</c:v>
                </c:pt>
                <c:pt idx="57">
                  <c:v>870</c:v>
                </c:pt>
                <c:pt idx="58">
                  <c:v>880</c:v>
                </c:pt>
                <c:pt idx="59">
                  <c:v>890</c:v>
                </c:pt>
                <c:pt idx="60">
                  <c:v>900</c:v>
                </c:pt>
                <c:pt idx="61">
                  <c:v>910</c:v>
                </c:pt>
                <c:pt idx="62">
                  <c:v>920</c:v>
                </c:pt>
                <c:pt idx="63">
                  <c:v>930</c:v>
                </c:pt>
                <c:pt idx="64">
                  <c:v>940</c:v>
                </c:pt>
                <c:pt idx="65">
                  <c:v>950</c:v>
                </c:pt>
                <c:pt idx="66">
                  <c:v>960</c:v>
                </c:pt>
                <c:pt idx="67">
                  <c:v>970</c:v>
                </c:pt>
                <c:pt idx="68">
                  <c:v>980</c:v>
                </c:pt>
                <c:pt idx="69">
                  <c:v>990</c:v>
                </c:pt>
                <c:pt idx="70">
                  <c:v>1000</c:v>
                </c:pt>
                <c:pt idx="71">
                  <c:v>1010</c:v>
                </c:pt>
                <c:pt idx="72">
                  <c:v>1020</c:v>
                </c:pt>
                <c:pt idx="73">
                  <c:v>1030</c:v>
                </c:pt>
                <c:pt idx="74">
                  <c:v>1040</c:v>
                </c:pt>
                <c:pt idx="75">
                  <c:v>1050</c:v>
                </c:pt>
                <c:pt idx="76">
                  <c:v>1060</c:v>
                </c:pt>
                <c:pt idx="77">
                  <c:v>1070</c:v>
                </c:pt>
                <c:pt idx="78">
                  <c:v>1080</c:v>
                </c:pt>
                <c:pt idx="79">
                  <c:v>1090</c:v>
                </c:pt>
                <c:pt idx="80">
                  <c:v>1100</c:v>
                </c:pt>
                <c:pt idx="81">
                  <c:v>1110</c:v>
                </c:pt>
                <c:pt idx="82">
                  <c:v>1120</c:v>
                </c:pt>
                <c:pt idx="83">
                  <c:v>1130</c:v>
                </c:pt>
                <c:pt idx="84">
                  <c:v>1140</c:v>
                </c:pt>
                <c:pt idx="85">
                  <c:v>1150</c:v>
                </c:pt>
                <c:pt idx="86">
                  <c:v>1160</c:v>
                </c:pt>
                <c:pt idx="87">
                  <c:v>1170</c:v>
                </c:pt>
                <c:pt idx="88">
                  <c:v>1180</c:v>
                </c:pt>
                <c:pt idx="89">
                  <c:v>1190</c:v>
                </c:pt>
                <c:pt idx="90">
                  <c:v>1200</c:v>
                </c:pt>
                <c:pt idx="91">
                  <c:v>1210</c:v>
                </c:pt>
                <c:pt idx="92">
                  <c:v>1220</c:v>
                </c:pt>
                <c:pt idx="93">
                  <c:v>1230</c:v>
                </c:pt>
                <c:pt idx="94">
                  <c:v>1240</c:v>
                </c:pt>
                <c:pt idx="95">
                  <c:v>1250</c:v>
                </c:pt>
                <c:pt idx="96">
                  <c:v>1260</c:v>
                </c:pt>
                <c:pt idx="97">
                  <c:v>1270</c:v>
                </c:pt>
                <c:pt idx="98">
                  <c:v>1280</c:v>
                </c:pt>
                <c:pt idx="99">
                  <c:v>1290</c:v>
                </c:pt>
                <c:pt idx="100">
                  <c:v>1300</c:v>
                </c:pt>
              </c:numCache>
            </c:numRef>
          </c:xVal>
          <c:yVal>
            <c:numRef>
              <c:f>W3Calc!$AB$5:$AB$105</c:f>
              <c:numCache>
                <c:formatCode>0.00</c:formatCode>
                <c:ptCount val="101"/>
                <c:pt idx="2">
                  <c:v>310.05</c:v>
                </c:pt>
                <c:pt idx="3">
                  <c:v>304.72000000000003</c:v>
                </c:pt>
                <c:pt idx="4">
                  <c:v>299.44</c:v>
                </c:pt>
                <c:pt idx="5">
                  <c:v>294.20999999999998</c:v>
                </c:pt>
                <c:pt idx="6">
                  <c:v>289.04000000000002</c:v>
                </c:pt>
                <c:pt idx="7">
                  <c:v>283.92</c:v>
                </c:pt>
                <c:pt idx="8">
                  <c:v>278.85000000000002</c:v>
                </c:pt>
                <c:pt idx="9">
                  <c:v>273.83</c:v>
                </c:pt>
                <c:pt idx="10">
                  <c:v>268.87</c:v>
                </c:pt>
                <c:pt idx="11">
                  <c:v>263.95</c:v>
                </c:pt>
                <c:pt idx="12">
                  <c:v>259.08999999999997</c:v>
                </c:pt>
                <c:pt idx="13">
                  <c:v>254.28</c:v>
                </c:pt>
                <c:pt idx="14">
                  <c:v>249.52</c:v>
                </c:pt>
                <c:pt idx="15">
                  <c:v>244.8</c:v>
                </c:pt>
                <c:pt idx="16">
                  <c:v>240.14</c:v>
                </c:pt>
                <c:pt idx="17">
                  <c:v>235.53</c:v>
                </c:pt>
                <c:pt idx="18">
                  <c:v>230.97</c:v>
                </c:pt>
                <c:pt idx="19">
                  <c:v>226.46</c:v>
                </c:pt>
                <c:pt idx="20">
                  <c:v>222</c:v>
                </c:pt>
                <c:pt idx="21">
                  <c:v>217.6</c:v>
                </c:pt>
                <c:pt idx="22">
                  <c:v>213.24</c:v>
                </c:pt>
                <c:pt idx="23">
                  <c:v>208.93</c:v>
                </c:pt>
                <c:pt idx="24">
                  <c:v>204.68</c:v>
                </c:pt>
                <c:pt idx="25">
                  <c:v>200.48</c:v>
                </c:pt>
                <c:pt idx="26">
                  <c:v>196.33</c:v>
                </c:pt>
                <c:pt idx="27">
                  <c:v>192.23</c:v>
                </c:pt>
                <c:pt idx="28">
                  <c:v>188.19</c:v>
                </c:pt>
                <c:pt idx="29">
                  <c:v>184.2</c:v>
                </c:pt>
                <c:pt idx="30">
                  <c:v>180.26</c:v>
                </c:pt>
                <c:pt idx="31">
                  <c:v>176.38</c:v>
                </c:pt>
                <c:pt idx="32">
                  <c:v>172.56</c:v>
                </c:pt>
                <c:pt idx="33">
                  <c:v>168.78</c:v>
                </c:pt>
                <c:pt idx="34">
                  <c:v>165.07</c:v>
                </c:pt>
                <c:pt idx="35">
                  <c:v>161.41</c:v>
                </c:pt>
                <c:pt idx="36">
                  <c:v>157.81</c:v>
                </c:pt>
                <c:pt idx="37">
                  <c:v>154.27000000000001</c:v>
                </c:pt>
                <c:pt idx="38">
                  <c:v>150.79</c:v>
                </c:pt>
                <c:pt idx="39">
                  <c:v>147.37</c:v>
                </c:pt>
                <c:pt idx="40">
                  <c:v>144.01</c:v>
                </c:pt>
                <c:pt idx="41">
                  <c:v>140.71</c:v>
                </c:pt>
                <c:pt idx="42">
                  <c:v>137.47999999999999</c:v>
                </c:pt>
                <c:pt idx="43">
                  <c:v>134.31</c:v>
                </c:pt>
                <c:pt idx="44">
                  <c:v>131.19999999999999</c:v>
                </c:pt>
                <c:pt idx="45">
                  <c:v>128.16</c:v>
                </c:pt>
                <c:pt idx="46">
                  <c:v>125.19</c:v>
                </c:pt>
                <c:pt idx="47">
                  <c:v>122.29</c:v>
                </c:pt>
                <c:pt idx="48">
                  <c:v>119.45</c:v>
                </c:pt>
                <c:pt idx="49">
                  <c:v>116.69</c:v>
                </c:pt>
                <c:pt idx="50">
                  <c:v>114</c:v>
                </c:pt>
                <c:pt idx="51">
                  <c:v>111.38</c:v>
                </c:pt>
                <c:pt idx="52">
                  <c:v>108.84</c:v>
                </c:pt>
                <c:pt idx="53">
                  <c:v>106.38</c:v>
                </c:pt>
                <c:pt idx="54">
                  <c:v>103.99</c:v>
                </c:pt>
                <c:pt idx="55">
                  <c:v>101.68</c:v>
                </c:pt>
                <c:pt idx="56">
                  <c:v>99.45</c:v>
                </c:pt>
                <c:pt idx="57">
                  <c:v>97.3</c:v>
                </c:pt>
                <c:pt idx="58">
                  <c:v>95.24</c:v>
                </c:pt>
                <c:pt idx="59">
                  <c:v>93.26</c:v>
                </c:pt>
                <c:pt idx="60">
                  <c:v>91.37</c:v>
                </c:pt>
                <c:pt idx="61">
                  <c:v>89.57</c:v>
                </c:pt>
                <c:pt idx="62">
                  <c:v>87.86</c:v>
                </c:pt>
                <c:pt idx="63">
                  <c:v>86.24</c:v>
                </c:pt>
                <c:pt idx="64">
                  <c:v>84.72</c:v>
                </c:pt>
                <c:pt idx="65">
                  <c:v>83.29</c:v>
                </c:pt>
                <c:pt idx="66">
                  <c:v>81.96</c:v>
                </c:pt>
                <c:pt idx="67">
                  <c:v>80.73</c:v>
                </c:pt>
                <c:pt idx="68">
                  <c:v>79.599999999999994</c:v>
                </c:pt>
                <c:pt idx="69">
                  <c:v>78.569999999999993</c:v>
                </c:pt>
                <c:pt idx="70">
                  <c:v>77.66</c:v>
                </c:pt>
                <c:pt idx="71">
                  <c:v>76.84</c:v>
                </c:pt>
                <c:pt idx="72">
                  <c:v>76.14</c:v>
                </c:pt>
                <c:pt idx="73">
                  <c:v>75.55</c:v>
                </c:pt>
                <c:pt idx="74">
                  <c:v>75.08</c:v>
                </c:pt>
                <c:pt idx="75">
                  <c:v>75</c:v>
                </c:pt>
                <c:pt idx="76">
                  <c:v>75</c:v>
                </c:pt>
                <c:pt idx="77">
                  <c:v>75</c:v>
                </c:pt>
                <c:pt idx="78">
                  <c:v>75</c:v>
                </c:pt>
                <c:pt idx="79">
                  <c:v>75</c:v>
                </c:pt>
                <c:pt idx="80">
                  <c:v>75</c:v>
                </c:pt>
                <c:pt idx="81">
                  <c:v>75</c:v>
                </c:pt>
                <c:pt idx="82">
                  <c:v>75</c:v>
                </c:pt>
                <c:pt idx="83">
                  <c:v>75</c:v>
                </c:pt>
                <c:pt idx="84">
                  <c:v>75</c:v>
                </c:pt>
                <c:pt idx="85">
                  <c:v>75</c:v>
                </c:pt>
                <c:pt idx="86">
                  <c:v>75</c:v>
                </c:pt>
                <c:pt idx="87">
                  <c:v>75</c:v>
                </c:pt>
                <c:pt idx="88">
                  <c:v>75</c:v>
                </c:pt>
                <c:pt idx="89">
                  <c:v>75</c:v>
                </c:pt>
                <c:pt idx="90">
                  <c:v>75</c:v>
                </c:pt>
                <c:pt idx="91">
                  <c:v>75</c:v>
                </c:pt>
                <c:pt idx="92">
                  <c:v>75</c:v>
                </c:pt>
                <c:pt idx="93">
                  <c:v>75</c:v>
                </c:pt>
                <c:pt idx="94">
                  <c:v>75</c:v>
                </c:pt>
                <c:pt idx="95">
                  <c:v>75</c:v>
                </c:pt>
                <c:pt idx="96">
                  <c:v>75</c:v>
                </c:pt>
                <c:pt idx="97">
                  <c:v>75</c:v>
                </c:pt>
                <c:pt idx="98">
                  <c:v>75</c:v>
                </c:pt>
                <c:pt idx="99">
                  <c:v>75</c:v>
                </c:pt>
                <c:pt idx="100">
                  <c:v>75</c:v>
                </c:pt>
              </c:numCache>
            </c:numRef>
          </c:yVal>
          <c:smooth val="1"/>
        </c:ser>
        <c:axId val="101789056"/>
        <c:axId val="101811712"/>
      </c:scatterChart>
      <c:valAx>
        <c:axId val="101789056"/>
        <c:scaling>
          <c:orientation val="minMax"/>
          <c:max val="1300"/>
          <c:min val="300"/>
        </c:scaling>
        <c:axPos val="b"/>
        <c:majorGridlines>
          <c:spPr>
            <a:ln w="12700">
              <a:solidFill>
                <a:prstClr val="black"/>
              </a:solidFill>
            </a:ln>
          </c:spPr>
        </c:majorGridlines>
        <c:title>
          <c:tx>
            <c:rich>
              <a:bodyPr/>
              <a:lstStyle/>
              <a:p>
                <a:pPr>
                  <a:defRPr/>
                </a:pPr>
                <a:r>
                  <a:rPr lang="en-US"/>
                  <a:t>MAJOR ROUTE - TOTAL OF BOTH APPROACHES [VPH]</a:t>
                </a:r>
              </a:p>
            </c:rich>
          </c:tx>
          <c:layout>
            <c:manualLayout>
              <c:xMode val="edge"/>
              <c:yMode val="edge"/>
              <c:x val="0.14699471198482239"/>
              <c:y val="0.91955002272633457"/>
            </c:manualLayout>
          </c:layout>
        </c:title>
        <c:numFmt formatCode="#,##0" sourceLinked="0"/>
        <c:tickLblPos val="nextTo"/>
        <c:spPr>
          <a:noFill/>
          <a:ln w="12700">
            <a:solidFill>
              <a:prstClr val="black"/>
            </a:solidFill>
          </a:ln>
        </c:spPr>
        <c:txPr>
          <a:bodyPr rot="-2700000"/>
          <a:lstStyle/>
          <a:p>
            <a:pPr>
              <a:defRPr sz="900" baseline="0"/>
            </a:pPr>
            <a:endParaRPr lang="en-US"/>
          </a:p>
        </c:txPr>
        <c:crossAx val="101811712"/>
        <c:crosses val="autoZero"/>
        <c:crossBetween val="midCat"/>
        <c:majorUnit val="100"/>
        <c:minorUnit val="20"/>
      </c:valAx>
      <c:valAx>
        <c:axId val="101811712"/>
        <c:scaling>
          <c:orientation val="minMax"/>
          <c:max val="500"/>
          <c:min val="0"/>
        </c:scaling>
        <c:axPos val="l"/>
        <c:majorGridlines>
          <c:spPr>
            <a:ln>
              <a:solidFill>
                <a:prstClr val="black"/>
              </a:solidFill>
              <a:prstDash val="sysDash"/>
            </a:ln>
          </c:spPr>
        </c:majorGridlines>
        <c:title>
          <c:tx>
            <c:rich>
              <a:bodyPr rot="-5400000" vert="horz"/>
              <a:lstStyle/>
              <a:p>
                <a:pPr>
                  <a:defRPr/>
                </a:pPr>
                <a:r>
                  <a:rPr lang="en-US"/>
                  <a:t>MINOR  ROUTE - HIGHER</a:t>
                </a:r>
              </a:p>
              <a:p>
                <a:pPr>
                  <a:defRPr/>
                </a:pPr>
                <a:r>
                  <a:rPr lang="en-US"/>
                  <a:t>VOLUME  APPROACH [VPH]</a:t>
                </a:r>
              </a:p>
            </c:rich>
          </c:tx>
          <c:layout>
            <c:manualLayout>
              <c:xMode val="edge"/>
              <c:yMode val="edge"/>
              <c:x val="3.8517808931993211E-4"/>
              <c:y val="7.770406936802457E-2"/>
            </c:manualLayout>
          </c:layout>
        </c:title>
        <c:numFmt formatCode="#,##0" sourceLinked="0"/>
        <c:tickLblPos val="nextTo"/>
        <c:spPr>
          <a:noFill/>
          <a:ln w="12700">
            <a:solidFill>
              <a:prstClr val="black"/>
            </a:solidFill>
            <a:prstDash val="solid"/>
          </a:ln>
        </c:spPr>
        <c:txPr>
          <a:bodyPr/>
          <a:lstStyle/>
          <a:p>
            <a:pPr>
              <a:defRPr sz="900" baseline="0"/>
            </a:pPr>
            <a:endParaRPr lang="en-US"/>
          </a:p>
        </c:txPr>
        <c:crossAx val="101789056"/>
        <c:crosses val="autoZero"/>
        <c:crossBetween val="midCat"/>
        <c:majorUnit val="100"/>
        <c:minorUnit val="10"/>
      </c:valAx>
      <c:spPr>
        <a:noFill/>
        <a:ln w="25400">
          <a:solidFill>
            <a:prstClr val="black"/>
          </a:solidFill>
        </a:ln>
      </c:spPr>
    </c:plotArea>
    <c:legend>
      <c:legendPos val="r"/>
      <c:layout>
        <c:manualLayout>
          <c:xMode val="edge"/>
          <c:yMode val="edge"/>
          <c:x val="0.80375863258555935"/>
          <c:y val="3.5149787588962937E-3"/>
          <c:w val="0.19624136741444256"/>
          <c:h val="0.99120984510679688"/>
        </c:manualLayout>
      </c:layout>
      <c:txPr>
        <a:bodyPr/>
        <a:lstStyle/>
        <a:p>
          <a:pPr>
            <a:defRPr sz="800" baseline="0"/>
          </a:pPr>
          <a:endParaRPr lang="en-US"/>
        </a:p>
      </c:txPr>
    </c:legend>
    <c:plotVisOnly val="1"/>
    <c:dispBlanksAs val="gap"/>
  </c:chart>
  <c:spPr>
    <a:ln>
      <a:noFill/>
    </a:ln>
  </c:spPr>
  <c:printSettings>
    <c:headerFooter/>
    <c:pageMargins b="0.75000000000000322" l="0.70000000000000062" r="0.70000000000000062" t="0.7500000000000032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lang val="en-US"/>
  <c:chart>
    <c:autoTitleDeleted val="1"/>
    <c:plotArea>
      <c:layout>
        <c:manualLayout>
          <c:layoutTarget val="inner"/>
          <c:xMode val="edge"/>
          <c:yMode val="edge"/>
          <c:x val="0.11673753699447846"/>
          <c:y val="4.8695261776488467E-2"/>
          <c:w val="0.66994989262706006"/>
          <c:h val="0.72228968089515122"/>
        </c:manualLayout>
      </c:layout>
      <c:scatterChart>
        <c:scatterStyle val="smoothMarker"/>
        <c:ser>
          <c:idx val="0"/>
          <c:order val="0"/>
          <c:tx>
            <c:v>100% Curve</c:v>
          </c:tx>
          <c:spPr>
            <a:ln w="25400">
              <a:solidFill>
                <a:srgbClr val="0000FF"/>
              </a:solidFill>
            </a:ln>
          </c:spPr>
          <c:marker>
            <c:symbol val="none"/>
          </c:marker>
          <c:xVal>
            <c:numRef>
              <c:f>W4Calc!$S$20:$S$90</c:f>
              <c:numCache>
                <c:formatCode>0</c:formatCode>
                <c:ptCount val="71"/>
                <c:pt idx="0">
                  <c:v>400</c:v>
                </c:pt>
                <c:pt idx="1">
                  <c:v>410</c:v>
                </c:pt>
                <c:pt idx="2">
                  <c:v>420</c:v>
                </c:pt>
                <c:pt idx="3">
                  <c:v>430</c:v>
                </c:pt>
                <c:pt idx="4">
                  <c:v>440</c:v>
                </c:pt>
                <c:pt idx="5">
                  <c:v>450</c:v>
                </c:pt>
                <c:pt idx="6">
                  <c:v>460</c:v>
                </c:pt>
                <c:pt idx="7">
                  <c:v>470</c:v>
                </c:pt>
                <c:pt idx="8">
                  <c:v>480</c:v>
                </c:pt>
                <c:pt idx="9">
                  <c:v>490</c:v>
                </c:pt>
                <c:pt idx="10">
                  <c:v>500</c:v>
                </c:pt>
                <c:pt idx="11">
                  <c:v>510</c:v>
                </c:pt>
                <c:pt idx="12">
                  <c:v>520</c:v>
                </c:pt>
                <c:pt idx="13">
                  <c:v>530</c:v>
                </c:pt>
                <c:pt idx="14">
                  <c:v>540</c:v>
                </c:pt>
                <c:pt idx="15">
                  <c:v>550</c:v>
                </c:pt>
                <c:pt idx="16">
                  <c:v>560</c:v>
                </c:pt>
                <c:pt idx="17">
                  <c:v>570</c:v>
                </c:pt>
                <c:pt idx="18">
                  <c:v>580</c:v>
                </c:pt>
                <c:pt idx="19">
                  <c:v>590</c:v>
                </c:pt>
                <c:pt idx="20">
                  <c:v>600</c:v>
                </c:pt>
                <c:pt idx="21">
                  <c:v>610</c:v>
                </c:pt>
                <c:pt idx="22">
                  <c:v>620</c:v>
                </c:pt>
                <c:pt idx="23">
                  <c:v>630</c:v>
                </c:pt>
                <c:pt idx="24">
                  <c:v>640</c:v>
                </c:pt>
                <c:pt idx="25">
                  <c:v>650</c:v>
                </c:pt>
                <c:pt idx="26">
                  <c:v>660</c:v>
                </c:pt>
                <c:pt idx="27">
                  <c:v>670</c:v>
                </c:pt>
                <c:pt idx="28">
                  <c:v>680</c:v>
                </c:pt>
                <c:pt idx="29">
                  <c:v>690</c:v>
                </c:pt>
                <c:pt idx="30">
                  <c:v>700</c:v>
                </c:pt>
                <c:pt idx="31">
                  <c:v>710</c:v>
                </c:pt>
                <c:pt idx="32">
                  <c:v>720</c:v>
                </c:pt>
                <c:pt idx="33">
                  <c:v>730</c:v>
                </c:pt>
                <c:pt idx="34">
                  <c:v>740</c:v>
                </c:pt>
                <c:pt idx="35">
                  <c:v>750</c:v>
                </c:pt>
                <c:pt idx="36">
                  <c:v>760</c:v>
                </c:pt>
                <c:pt idx="37">
                  <c:v>770</c:v>
                </c:pt>
                <c:pt idx="38">
                  <c:v>780</c:v>
                </c:pt>
                <c:pt idx="39">
                  <c:v>790</c:v>
                </c:pt>
                <c:pt idx="40">
                  <c:v>800</c:v>
                </c:pt>
                <c:pt idx="41">
                  <c:v>810</c:v>
                </c:pt>
                <c:pt idx="42">
                  <c:v>820</c:v>
                </c:pt>
                <c:pt idx="43">
                  <c:v>830</c:v>
                </c:pt>
                <c:pt idx="44">
                  <c:v>840</c:v>
                </c:pt>
                <c:pt idx="45">
                  <c:v>850</c:v>
                </c:pt>
                <c:pt idx="46">
                  <c:v>860</c:v>
                </c:pt>
                <c:pt idx="47">
                  <c:v>870</c:v>
                </c:pt>
                <c:pt idx="48">
                  <c:v>880</c:v>
                </c:pt>
                <c:pt idx="49">
                  <c:v>890</c:v>
                </c:pt>
                <c:pt idx="50">
                  <c:v>900</c:v>
                </c:pt>
                <c:pt idx="51">
                  <c:v>910</c:v>
                </c:pt>
                <c:pt idx="52">
                  <c:v>920</c:v>
                </c:pt>
                <c:pt idx="53">
                  <c:v>930</c:v>
                </c:pt>
                <c:pt idx="54">
                  <c:v>940</c:v>
                </c:pt>
                <c:pt idx="55">
                  <c:v>950</c:v>
                </c:pt>
                <c:pt idx="56">
                  <c:v>960</c:v>
                </c:pt>
                <c:pt idx="57">
                  <c:v>970</c:v>
                </c:pt>
                <c:pt idx="58">
                  <c:v>980</c:v>
                </c:pt>
                <c:pt idx="59">
                  <c:v>990</c:v>
                </c:pt>
                <c:pt idx="60">
                  <c:v>1000</c:v>
                </c:pt>
                <c:pt idx="61">
                  <c:v>1010</c:v>
                </c:pt>
                <c:pt idx="62">
                  <c:v>1020</c:v>
                </c:pt>
                <c:pt idx="63">
                  <c:v>1030</c:v>
                </c:pt>
                <c:pt idx="64">
                  <c:v>1040</c:v>
                </c:pt>
                <c:pt idx="65">
                  <c:v>1050</c:v>
                </c:pt>
                <c:pt idx="66">
                  <c:v>1060</c:v>
                </c:pt>
                <c:pt idx="67">
                  <c:v>1070</c:v>
                </c:pt>
                <c:pt idx="68">
                  <c:v>1080</c:v>
                </c:pt>
                <c:pt idx="69">
                  <c:v>1090</c:v>
                </c:pt>
                <c:pt idx="70">
                  <c:v>1100</c:v>
                </c:pt>
              </c:numCache>
            </c:numRef>
          </c:xVal>
          <c:yVal>
            <c:numRef>
              <c:f>W4Calc!$T$20:$T$90</c:f>
              <c:numCache>
                <c:formatCode>0.00</c:formatCode>
                <c:ptCount val="71"/>
                <c:pt idx="0">
                  <c:v>416.23</c:v>
                </c:pt>
                <c:pt idx="1">
                  <c:v>409.11</c:v>
                </c:pt>
                <c:pt idx="2">
                  <c:v>402.05</c:v>
                </c:pt>
                <c:pt idx="3">
                  <c:v>395.05</c:v>
                </c:pt>
                <c:pt idx="4">
                  <c:v>388.13</c:v>
                </c:pt>
                <c:pt idx="5">
                  <c:v>381.27</c:v>
                </c:pt>
                <c:pt idx="6">
                  <c:v>374.48</c:v>
                </c:pt>
                <c:pt idx="7">
                  <c:v>367.77</c:v>
                </c:pt>
                <c:pt idx="8">
                  <c:v>361.13</c:v>
                </c:pt>
                <c:pt idx="9">
                  <c:v>354.58</c:v>
                </c:pt>
                <c:pt idx="10">
                  <c:v>348.11</c:v>
                </c:pt>
                <c:pt idx="11">
                  <c:v>341.72</c:v>
                </c:pt>
                <c:pt idx="12">
                  <c:v>335.42</c:v>
                </c:pt>
                <c:pt idx="13">
                  <c:v>329.2</c:v>
                </c:pt>
                <c:pt idx="14">
                  <c:v>323.07</c:v>
                </c:pt>
                <c:pt idx="15">
                  <c:v>317.02999999999997</c:v>
                </c:pt>
                <c:pt idx="16">
                  <c:v>311.08</c:v>
                </c:pt>
                <c:pt idx="17">
                  <c:v>305.20999999999998</c:v>
                </c:pt>
                <c:pt idx="18">
                  <c:v>299.44</c:v>
                </c:pt>
                <c:pt idx="19">
                  <c:v>293.75</c:v>
                </c:pt>
                <c:pt idx="20">
                  <c:v>288.16000000000003</c:v>
                </c:pt>
                <c:pt idx="21">
                  <c:v>282.64999999999998</c:v>
                </c:pt>
                <c:pt idx="22">
                  <c:v>277.23</c:v>
                </c:pt>
                <c:pt idx="23">
                  <c:v>271.89999999999998</c:v>
                </c:pt>
                <c:pt idx="24">
                  <c:v>266.66000000000003</c:v>
                </c:pt>
                <c:pt idx="25">
                  <c:v>261.5</c:v>
                </c:pt>
                <c:pt idx="26">
                  <c:v>256.43</c:v>
                </c:pt>
                <c:pt idx="27">
                  <c:v>251.44</c:v>
                </c:pt>
                <c:pt idx="28">
                  <c:v>246.54</c:v>
                </c:pt>
                <c:pt idx="29">
                  <c:v>241.72</c:v>
                </c:pt>
                <c:pt idx="30">
                  <c:v>236.98</c:v>
                </c:pt>
                <c:pt idx="31">
                  <c:v>232.32</c:v>
                </c:pt>
                <c:pt idx="32">
                  <c:v>227.74</c:v>
                </c:pt>
                <c:pt idx="33">
                  <c:v>223.24</c:v>
                </c:pt>
                <c:pt idx="34">
                  <c:v>218.81</c:v>
                </c:pt>
                <c:pt idx="35">
                  <c:v>214.45</c:v>
                </c:pt>
                <c:pt idx="36">
                  <c:v>210.17</c:v>
                </c:pt>
                <c:pt idx="37">
                  <c:v>205.96</c:v>
                </c:pt>
                <c:pt idx="38">
                  <c:v>201.81</c:v>
                </c:pt>
                <c:pt idx="39">
                  <c:v>197.74</c:v>
                </c:pt>
                <c:pt idx="40">
                  <c:v>193.73</c:v>
                </c:pt>
                <c:pt idx="41">
                  <c:v>189.78</c:v>
                </c:pt>
                <c:pt idx="42">
                  <c:v>185.9</c:v>
                </c:pt>
                <c:pt idx="43">
                  <c:v>182.07</c:v>
                </c:pt>
                <c:pt idx="44">
                  <c:v>178.31</c:v>
                </c:pt>
                <c:pt idx="45">
                  <c:v>174.6</c:v>
                </c:pt>
                <c:pt idx="46">
                  <c:v>170.95</c:v>
                </c:pt>
                <c:pt idx="47">
                  <c:v>167.35</c:v>
                </c:pt>
                <c:pt idx="48">
                  <c:v>163.80000000000001</c:v>
                </c:pt>
                <c:pt idx="49">
                  <c:v>160.31</c:v>
                </c:pt>
                <c:pt idx="50">
                  <c:v>156.87</c:v>
                </c:pt>
                <c:pt idx="51">
                  <c:v>153.47999999999999</c:v>
                </c:pt>
                <c:pt idx="52">
                  <c:v>150.13</c:v>
                </c:pt>
                <c:pt idx="53">
                  <c:v>146.83000000000001</c:v>
                </c:pt>
                <c:pt idx="54">
                  <c:v>143.58000000000001</c:v>
                </c:pt>
                <c:pt idx="55">
                  <c:v>140.38</c:v>
                </c:pt>
                <c:pt idx="56">
                  <c:v>137.21</c:v>
                </c:pt>
                <c:pt idx="57">
                  <c:v>134.1</c:v>
                </c:pt>
                <c:pt idx="58">
                  <c:v>131.03</c:v>
                </c:pt>
                <c:pt idx="59">
                  <c:v>128</c:v>
                </c:pt>
                <c:pt idx="60">
                  <c:v>125</c:v>
                </c:pt>
                <c:pt idx="61">
                  <c:v>123.2</c:v>
                </c:pt>
                <c:pt idx="62">
                  <c:v>121.4</c:v>
                </c:pt>
                <c:pt idx="63">
                  <c:v>119.6</c:v>
                </c:pt>
                <c:pt idx="64">
                  <c:v>117.8</c:v>
                </c:pt>
                <c:pt idx="65">
                  <c:v>116</c:v>
                </c:pt>
                <c:pt idx="66">
                  <c:v>114.2</c:v>
                </c:pt>
                <c:pt idx="67">
                  <c:v>112.4</c:v>
                </c:pt>
                <c:pt idx="68">
                  <c:v>110.6</c:v>
                </c:pt>
                <c:pt idx="69">
                  <c:v>108.8</c:v>
                </c:pt>
                <c:pt idx="70">
                  <c:v>107</c:v>
                </c:pt>
              </c:numCache>
            </c:numRef>
          </c:yVal>
          <c:smooth val="1"/>
        </c:ser>
        <c:axId val="101836672"/>
        <c:axId val="105406464"/>
      </c:scatterChart>
      <c:scatterChart>
        <c:scatterStyle val="lineMarker"/>
        <c:ser>
          <c:idx val="4"/>
          <c:order val="1"/>
          <c:tx>
            <c:v>70% Curve</c:v>
          </c:tx>
          <c:spPr>
            <a:ln w="25400">
              <a:solidFill>
                <a:srgbClr val="FF66FF"/>
              </a:solidFill>
            </a:ln>
          </c:spPr>
          <c:marker>
            <c:symbol val="none"/>
          </c:marker>
          <c:xVal>
            <c:numRef>
              <c:f>W4Calc!$O$7:$O$58</c:f>
              <c:numCache>
                <c:formatCode>0</c:formatCode>
                <c:ptCount val="52"/>
                <c:pt idx="0">
                  <c:v>270</c:v>
                </c:pt>
                <c:pt idx="1">
                  <c:v>280</c:v>
                </c:pt>
                <c:pt idx="2">
                  <c:v>290</c:v>
                </c:pt>
                <c:pt idx="3">
                  <c:v>300</c:v>
                </c:pt>
                <c:pt idx="4">
                  <c:v>310</c:v>
                </c:pt>
                <c:pt idx="5">
                  <c:v>320</c:v>
                </c:pt>
                <c:pt idx="6">
                  <c:v>330</c:v>
                </c:pt>
                <c:pt idx="7">
                  <c:v>340</c:v>
                </c:pt>
                <c:pt idx="8">
                  <c:v>350</c:v>
                </c:pt>
                <c:pt idx="9">
                  <c:v>360</c:v>
                </c:pt>
                <c:pt idx="10">
                  <c:v>370</c:v>
                </c:pt>
                <c:pt idx="11">
                  <c:v>380</c:v>
                </c:pt>
                <c:pt idx="12">
                  <c:v>390</c:v>
                </c:pt>
                <c:pt idx="13">
                  <c:v>400</c:v>
                </c:pt>
                <c:pt idx="14">
                  <c:v>410</c:v>
                </c:pt>
                <c:pt idx="15">
                  <c:v>420</c:v>
                </c:pt>
                <c:pt idx="16">
                  <c:v>430</c:v>
                </c:pt>
                <c:pt idx="17">
                  <c:v>440</c:v>
                </c:pt>
                <c:pt idx="18">
                  <c:v>450</c:v>
                </c:pt>
                <c:pt idx="19">
                  <c:v>460</c:v>
                </c:pt>
                <c:pt idx="20">
                  <c:v>470</c:v>
                </c:pt>
                <c:pt idx="21">
                  <c:v>480</c:v>
                </c:pt>
                <c:pt idx="22">
                  <c:v>490</c:v>
                </c:pt>
                <c:pt idx="23">
                  <c:v>500</c:v>
                </c:pt>
                <c:pt idx="24">
                  <c:v>510</c:v>
                </c:pt>
                <c:pt idx="25">
                  <c:v>520</c:v>
                </c:pt>
                <c:pt idx="26">
                  <c:v>530</c:v>
                </c:pt>
                <c:pt idx="27">
                  <c:v>540</c:v>
                </c:pt>
                <c:pt idx="28">
                  <c:v>550</c:v>
                </c:pt>
                <c:pt idx="29">
                  <c:v>560</c:v>
                </c:pt>
                <c:pt idx="30">
                  <c:v>570</c:v>
                </c:pt>
                <c:pt idx="31">
                  <c:v>580</c:v>
                </c:pt>
                <c:pt idx="32">
                  <c:v>590</c:v>
                </c:pt>
                <c:pt idx="33">
                  <c:v>600</c:v>
                </c:pt>
                <c:pt idx="34">
                  <c:v>610</c:v>
                </c:pt>
                <c:pt idx="35">
                  <c:v>620</c:v>
                </c:pt>
                <c:pt idx="36">
                  <c:v>630</c:v>
                </c:pt>
                <c:pt idx="37">
                  <c:v>640</c:v>
                </c:pt>
                <c:pt idx="38">
                  <c:v>650</c:v>
                </c:pt>
                <c:pt idx="39">
                  <c:v>660</c:v>
                </c:pt>
                <c:pt idx="40">
                  <c:v>670</c:v>
                </c:pt>
                <c:pt idx="41">
                  <c:v>680</c:v>
                </c:pt>
                <c:pt idx="42">
                  <c:v>690</c:v>
                </c:pt>
                <c:pt idx="43">
                  <c:v>700</c:v>
                </c:pt>
                <c:pt idx="44">
                  <c:v>710</c:v>
                </c:pt>
                <c:pt idx="45">
                  <c:v>720</c:v>
                </c:pt>
                <c:pt idx="46">
                  <c:v>730</c:v>
                </c:pt>
                <c:pt idx="47">
                  <c:v>740</c:v>
                </c:pt>
                <c:pt idx="48">
                  <c:v>750</c:v>
                </c:pt>
                <c:pt idx="49">
                  <c:v>760</c:v>
                </c:pt>
                <c:pt idx="50">
                  <c:v>770</c:v>
                </c:pt>
                <c:pt idx="51">
                  <c:v>780</c:v>
                </c:pt>
              </c:numCache>
            </c:numRef>
          </c:xVal>
          <c:yVal>
            <c:numRef>
              <c:f>W4Calc!$P$7:$P$58</c:f>
              <c:numCache>
                <c:formatCode>0.00</c:formatCode>
                <c:ptCount val="52"/>
                <c:pt idx="0">
                  <c:v>286.57</c:v>
                </c:pt>
                <c:pt idx="1">
                  <c:v>280.77999999999997</c:v>
                </c:pt>
                <c:pt idx="2">
                  <c:v>275.02</c:v>
                </c:pt>
                <c:pt idx="3">
                  <c:v>269.3</c:v>
                </c:pt>
                <c:pt idx="4">
                  <c:v>263.61</c:v>
                </c:pt>
                <c:pt idx="5">
                  <c:v>257.95</c:v>
                </c:pt>
                <c:pt idx="6">
                  <c:v>252.34</c:v>
                </c:pt>
                <c:pt idx="7">
                  <c:v>246.76</c:v>
                </c:pt>
                <c:pt idx="8">
                  <c:v>241.23</c:v>
                </c:pt>
                <c:pt idx="9">
                  <c:v>235.74</c:v>
                </c:pt>
                <c:pt idx="10">
                  <c:v>230.29</c:v>
                </c:pt>
                <c:pt idx="11">
                  <c:v>224.89</c:v>
                </c:pt>
                <c:pt idx="12">
                  <c:v>219.54</c:v>
                </c:pt>
                <c:pt idx="13">
                  <c:v>214.25</c:v>
                </c:pt>
                <c:pt idx="14">
                  <c:v>209</c:v>
                </c:pt>
                <c:pt idx="15">
                  <c:v>203.8</c:v>
                </c:pt>
                <c:pt idx="16">
                  <c:v>198.66</c:v>
                </c:pt>
                <c:pt idx="17">
                  <c:v>193.58</c:v>
                </c:pt>
                <c:pt idx="18">
                  <c:v>188.55</c:v>
                </c:pt>
                <c:pt idx="19">
                  <c:v>183.58</c:v>
                </c:pt>
                <c:pt idx="20">
                  <c:v>178.68</c:v>
                </c:pt>
                <c:pt idx="21">
                  <c:v>173.83</c:v>
                </c:pt>
                <c:pt idx="22">
                  <c:v>169.05</c:v>
                </c:pt>
                <c:pt idx="23">
                  <c:v>164.34</c:v>
                </c:pt>
                <c:pt idx="24">
                  <c:v>159.69</c:v>
                </c:pt>
                <c:pt idx="25">
                  <c:v>155.12</c:v>
                </c:pt>
                <c:pt idx="26">
                  <c:v>150.62</c:v>
                </c:pt>
                <c:pt idx="27">
                  <c:v>146.19</c:v>
                </c:pt>
                <c:pt idx="28">
                  <c:v>141.85</c:v>
                </c:pt>
                <c:pt idx="29">
                  <c:v>137.58000000000001</c:v>
                </c:pt>
                <c:pt idx="30">
                  <c:v>133.4</c:v>
                </c:pt>
                <c:pt idx="31">
                  <c:v>129.31</c:v>
                </c:pt>
                <c:pt idx="32">
                  <c:v>125.31</c:v>
                </c:pt>
                <c:pt idx="33">
                  <c:v>121.41</c:v>
                </c:pt>
                <c:pt idx="34">
                  <c:v>117.6</c:v>
                </c:pt>
                <c:pt idx="35">
                  <c:v>113.9</c:v>
                </c:pt>
                <c:pt idx="36">
                  <c:v>110.31</c:v>
                </c:pt>
                <c:pt idx="37">
                  <c:v>106.84</c:v>
                </c:pt>
                <c:pt idx="38">
                  <c:v>103.48</c:v>
                </c:pt>
                <c:pt idx="39">
                  <c:v>100.26</c:v>
                </c:pt>
                <c:pt idx="40">
                  <c:v>97.16</c:v>
                </c:pt>
                <c:pt idx="41">
                  <c:v>94.21</c:v>
                </c:pt>
                <c:pt idx="42">
                  <c:v>91.4</c:v>
                </c:pt>
                <c:pt idx="43">
                  <c:v>88.74</c:v>
                </c:pt>
                <c:pt idx="44">
                  <c:v>86.25</c:v>
                </c:pt>
                <c:pt idx="45">
                  <c:v>83.93</c:v>
                </c:pt>
                <c:pt idx="46">
                  <c:v>81.78</c:v>
                </c:pt>
                <c:pt idx="47">
                  <c:v>79.83</c:v>
                </c:pt>
                <c:pt idx="48">
                  <c:v>78.069999999999993</c:v>
                </c:pt>
                <c:pt idx="49">
                  <c:v>76.52</c:v>
                </c:pt>
                <c:pt idx="50">
                  <c:v>75.2</c:v>
                </c:pt>
                <c:pt idx="51">
                  <c:v>75</c:v>
                </c:pt>
              </c:numCache>
            </c:numRef>
          </c:yVal>
        </c:ser>
        <c:ser>
          <c:idx val="1"/>
          <c:order val="2"/>
          <c:tx>
            <c:v>107pph lower threshold</c:v>
          </c:tx>
          <c:spPr>
            <a:ln w="25400">
              <a:solidFill>
                <a:sysClr val="windowText" lastClr="000000"/>
              </a:solidFill>
              <a:prstDash val="lgDashDotDot"/>
            </a:ln>
          </c:spPr>
          <c:marker>
            <c:symbol val="none"/>
          </c:marker>
          <c:xVal>
            <c:numRef>
              <c:f>W4Calc!$C$26:$C$27</c:f>
              <c:numCache>
                <c:formatCode>#,##0</c:formatCode>
                <c:ptCount val="2"/>
                <c:pt idx="0">
                  <c:v>200</c:v>
                </c:pt>
                <c:pt idx="1">
                  <c:v>1400</c:v>
                </c:pt>
              </c:numCache>
            </c:numRef>
          </c:xVal>
          <c:yVal>
            <c:numRef>
              <c:f>W4Calc!$D$26:$D$27</c:f>
              <c:numCache>
                <c:formatCode>#,##0</c:formatCode>
                <c:ptCount val="2"/>
                <c:pt idx="0">
                  <c:v>107</c:v>
                </c:pt>
                <c:pt idx="1">
                  <c:v>107</c:v>
                </c:pt>
              </c:numCache>
            </c:numRef>
          </c:yVal>
        </c:ser>
        <c:ser>
          <c:idx val="2"/>
          <c:order val="3"/>
          <c:tx>
            <c:v>75pph lower threshold</c:v>
          </c:tx>
          <c:spPr>
            <a:ln w="25400">
              <a:solidFill>
                <a:sysClr val="windowText" lastClr="000000"/>
              </a:solidFill>
              <a:prstDash val="dash"/>
            </a:ln>
          </c:spPr>
          <c:marker>
            <c:symbol val="none"/>
          </c:marker>
          <c:xVal>
            <c:numRef>
              <c:f>W4Calc!$C$26:$C$27</c:f>
              <c:numCache>
                <c:formatCode>#,##0</c:formatCode>
                <c:ptCount val="2"/>
                <c:pt idx="0">
                  <c:v>200</c:v>
                </c:pt>
                <c:pt idx="1">
                  <c:v>1400</c:v>
                </c:pt>
              </c:numCache>
            </c:numRef>
          </c:xVal>
          <c:yVal>
            <c:numRef>
              <c:f>W4Calc!$E$26:$E$27</c:f>
              <c:numCache>
                <c:formatCode>#,##0</c:formatCode>
                <c:ptCount val="2"/>
                <c:pt idx="0">
                  <c:v>75</c:v>
                </c:pt>
                <c:pt idx="1">
                  <c:v>75</c:v>
                </c:pt>
              </c:numCache>
            </c:numRef>
          </c:yVal>
        </c:ser>
        <c:ser>
          <c:idx val="3"/>
          <c:order val="4"/>
          <c:tx>
            <c:strRef>
              <c:f>W4Calc!$C$20</c:f>
              <c:strCache>
                <c:ptCount val="1"/>
                <c:pt idx="0">
                  <c:v>100% Volume Level</c:v>
                </c:pt>
              </c:strCache>
            </c:strRef>
          </c:tx>
          <c:spPr>
            <a:ln w="28575">
              <a:noFill/>
            </a:ln>
          </c:spPr>
          <c:marker>
            <c:symbol val="diamond"/>
            <c:size val="7"/>
            <c:spPr>
              <a:noFill/>
              <a:ln w="25400">
                <a:solidFill>
                  <a:srgbClr val="FF0000"/>
                </a:solidFill>
              </a:ln>
            </c:spPr>
          </c:marker>
          <c:dLbls>
            <c:dLbl>
              <c:idx val="0"/>
              <c:tx>
                <c:strRef>
                  <c:f>W4Calc!$C$21</c:f>
                  <c:strCache>
                    <c:ptCount val="1"/>
                    <c:pt idx="0">
                      <c:v>12 AM</c:v>
                    </c:pt>
                  </c:strCache>
                </c:strRef>
              </c:tx>
              <c:dLblPos val="t"/>
              <c:showVal val="1"/>
            </c:dLbl>
            <c:dLbl>
              <c:idx val="1"/>
              <c:tx>
                <c:strRef>
                  <c:f>W4Calc!$C$22</c:f>
                  <c:strCache>
                    <c:ptCount val="1"/>
                    <c:pt idx="0">
                      <c:v>12 AM</c:v>
                    </c:pt>
                  </c:strCache>
                </c:strRef>
              </c:tx>
              <c:dLblPos val="t"/>
              <c:showVal val="1"/>
            </c:dLbl>
            <c:dLbl>
              <c:idx val="2"/>
              <c:tx>
                <c:strRef>
                  <c:f>W4Calc!$C$23</c:f>
                  <c:strCache>
                    <c:ptCount val="1"/>
                    <c:pt idx="0">
                      <c:v>12 AM</c:v>
                    </c:pt>
                  </c:strCache>
                </c:strRef>
              </c:tx>
              <c:dLblPos val="t"/>
              <c:showVal val="1"/>
            </c:dLbl>
            <c:dLbl>
              <c:idx val="3"/>
              <c:tx>
                <c:strRef>
                  <c:f>W4Calc!$C$24</c:f>
                  <c:strCache>
                    <c:ptCount val="1"/>
                    <c:pt idx="0">
                      <c:v>12 AM</c:v>
                    </c:pt>
                  </c:strCache>
                </c:strRef>
              </c:tx>
              <c:dLblPos val="t"/>
              <c:showVal val="1"/>
            </c:dLbl>
            <c:txPr>
              <a:bodyPr rot="-2700000"/>
              <a:lstStyle/>
              <a:p>
                <a:pPr>
                  <a:defRPr b="1" i="0" baseline="0">
                    <a:solidFill>
                      <a:srgbClr val="FF0000"/>
                    </a:solidFill>
                  </a:defRPr>
                </a:pPr>
                <a:endParaRPr lang="en-US"/>
              </a:p>
            </c:txPr>
            <c:showVal val="1"/>
          </c:dLbls>
          <c:xVal>
            <c:numRef>
              <c:f>W4Calc!$D$21:$D$24</c:f>
              <c:numCache>
                <c:formatCode>#,##0</c:formatCode>
                <c:ptCount val="4"/>
                <c:pt idx="0">
                  <c:v>0</c:v>
                </c:pt>
                <c:pt idx="1">
                  <c:v>0</c:v>
                </c:pt>
                <c:pt idx="2">
                  <c:v>0</c:v>
                </c:pt>
                <c:pt idx="3">
                  <c:v>0</c:v>
                </c:pt>
              </c:numCache>
            </c:numRef>
          </c:xVal>
          <c:yVal>
            <c:numRef>
              <c:f>W4Calc!$E$21:$E$24</c:f>
              <c:numCache>
                <c:formatCode>#,##0</c:formatCode>
                <c:ptCount val="4"/>
                <c:pt idx="0">
                  <c:v>0</c:v>
                </c:pt>
                <c:pt idx="1">
                  <c:v>0</c:v>
                </c:pt>
                <c:pt idx="2">
                  <c:v>0</c:v>
                </c:pt>
                <c:pt idx="3">
                  <c:v>0</c:v>
                </c:pt>
              </c:numCache>
            </c:numRef>
          </c:yVal>
        </c:ser>
        <c:axId val="101836672"/>
        <c:axId val="105406464"/>
      </c:scatterChart>
      <c:valAx>
        <c:axId val="101836672"/>
        <c:scaling>
          <c:orientation val="minMax"/>
          <c:max val="1400"/>
          <c:min val="200"/>
        </c:scaling>
        <c:axPos val="b"/>
        <c:majorGridlines>
          <c:spPr>
            <a:ln w="12700">
              <a:solidFill>
                <a:sysClr val="windowText" lastClr="000000"/>
              </a:solidFill>
            </a:ln>
          </c:spPr>
        </c:majorGridlines>
        <c:title>
          <c:tx>
            <c:rich>
              <a:bodyPr/>
              <a:lstStyle/>
              <a:p>
                <a:pPr>
                  <a:defRPr/>
                </a:pPr>
                <a:r>
                  <a:rPr lang="en-US"/>
                  <a:t>MAJOR ROUTE, TOTAL OF BOTH APPROACHES</a:t>
                </a:r>
                <a:r>
                  <a:rPr lang="en-US" baseline="0"/>
                  <a:t> - VEHICLES PER HOUR (VPH)</a:t>
                </a:r>
                <a:endParaRPr lang="en-US"/>
              </a:p>
            </c:rich>
          </c:tx>
          <c:layout>
            <c:manualLayout>
              <c:xMode val="edge"/>
              <c:yMode val="edge"/>
              <c:x val="0.11461100855216065"/>
              <c:y val="0.92964615801686834"/>
            </c:manualLayout>
          </c:layout>
        </c:title>
        <c:numFmt formatCode="#,##0" sourceLinked="0"/>
        <c:tickLblPos val="nextTo"/>
        <c:spPr>
          <a:ln w="12700">
            <a:solidFill>
              <a:sysClr val="windowText" lastClr="000000"/>
            </a:solidFill>
          </a:ln>
        </c:spPr>
        <c:txPr>
          <a:bodyPr rot="-2700000"/>
          <a:lstStyle/>
          <a:p>
            <a:pPr>
              <a:defRPr/>
            </a:pPr>
            <a:endParaRPr lang="en-US"/>
          </a:p>
        </c:txPr>
        <c:crossAx val="105406464"/>
        <c:crosses val="autoZero"/>
        <c:crossBetween val="midCat"/>
        <c:majorUnit val="100"/>
        <c:minorUnit val="20"/>
      </c:valAx>
      <c:valAx>
        <c:axId val="105406464"/>
        <c:scaling>
          <c:orientation val="minMax"/>
          <c:max val="500"/>
          <c:min val="0"/>
        </c:scaling>
        <c:axPos val="l"/>
        <c:majorGridlines>
          <c:spPr>
            <a:ln w="12700">
              <a:solidFill>
                <a:sysClr val="windowText" lastClr="000000"/>
              </a:solidFill>
            </a:ln>
          </c:spPr>
        </c:majorGridlines>
        <c:title>
          <c:tx>
            <c:rich>
              <a:bodyPr rot="-5400000" vert="horz"/>
              <a:lstStyle/>
              <a:p>
                <a:pPr>
                  <a:defRPr/>
                </a:pPr>
                <a:r>
                  <a:rPr lang="en-US"/>
                  <a:t>TOTAL</a:t>
                </a:r>
                <a:r>
                  <a:rPr lang="en-US" baseline="0"/>
                  <a:t> OF ALL PEDS CROSSING MAJOR</a:t>
                </a:r>
              </a:p>
              <a:p>
                <a:pPr>
                  <a:defRPr/>
                </a:pPr>
                <a:r>
                  <a:rPr lang="en-US" baseline="0"/>
                  <a:t>ROUTE - PEDS PER HOUR (PPH)</a:t>
                </a:r>
                <a:endParaRPr lang="en-US"/>
              </a:p>
            </c:rich>
          </c:tx>
          <c:layout>
            <c:manualLayout>
              <c:xMode val="edge"/>
              <c:yMode val="edge"/>
              <c:x val="0"/>
              <c:y val="3.9436088827711352E-2"/>
            </c:manualLayout>
          </c:layout>
        </c:title>
        <c:numFmt formatCode="0" sourceLinked="0"/>
        <c:tickLblPos val="nextTo"/>
        <c:spPr>
          <a:ln w="12700">
            <a:solidFill>
              <a:sysClr val="windowText" lastClr="000000"/>
            </a:solidFill>
          </a:ln>
        </c:spPr>
        <c:crossAx val="101836672"/>
        <c:crosses val="autoZero"/>
        <c:crossBetween val="midCat"/>
        <c:majorUnit val="100"/>
        <c:minorUnit val="10"/>
      </c:valAx>
      <c:spPr>
        <a:ln w="12700">
          <a:solidFill>
            <a:sysClr val="windowText" lastClr="000000"/>
          </a:solidFill>
        </a:ln>
      </c:spPr>
    </c:plotArea>
    <c:legend>
      <c:legendPos val="r"/>
      <c:layout>
        <c:manualLayout>
          <c:xMode val="edge"/>
          <c:yMode val="edge"/>
          <c:x val="0.78733643940440468"/>
          <c:y val="4.7068310540129894E-2"/>
          <c:w val="0.21266356059559541"/>
          <c:h val="0.74394319005863563"/>
        </c:manualLayout>
      </c:layout>
    </c:legend>
    <c:plotVisOnly val="1"/>
    <c:dispBlanksAs val="gap"/>
  </c:chart>
  <c:spPr>
    <a:ln w="25400">
      <a:solidFill>
        <a:schemeClr val="tx1"/>
      </a:solidFill>
    </a:ln>
  </c:spPr>
  <c:printSettings>
    <c:headerFooter/>
    <c:pageMargins b="0.75000000000000266" l="0.70000000000000062" r="0.70000000000000062" t="0.75000000000000266"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lang val="en-US"/>
  <c:chart>
    <c:autoTitleDeleted val="1"/>
    <c:plotArea>
      <c:layout>
        <c:manualLayout>
          <c:layoutTarget val="inner"/>
          <c:xMode val="edge"/>
          <c:yMode val="edge"/>
          <c:x val="0.11605074924739839"/>
          <c:y val="5.305861652184253E-2"/>
          <c:w val="0.67242585092199036"/>
          <c:h val="0.71174189343573202"/>
        </c:manualLayout>
      </c:layout>
      <c:scatterChart>
        <c:scatterStyle val="lineMarker"/>
        <c:ser>
          <c:idx val="0"/>
          <c:order val="0"/>
          <c:tx>
            <c:v>100% Curve</c:v>
          </c:tx>
          <c:spPr>
            <a:ln w="25400">
              <a:solidFill>
                <a:srgbClr val="0000FF"/>
              </a:solidFill>
            </a:ln>
          </c:spPr>
          <c:marker>
            <c:symbol val="none"/>
          </c:marker>
          <c:xVal>
            <c:numRef>
              <c:f>W4Calc!$S$20:$S$127</c:f>
              <c:numCache>
                <c:formatCode>0</c:formatCode>
                <c:ptCount val="108"/>
                <c:pt idx="0">
                  <c:v>400</c:v>
                </c:pt>
                <c:pt idx="1">
                  <c:v>410</c:v>
                </c:pt>
                <c:pt idx="2">
                  <c:v>420</c:v>
                </c:pt>
                <c:pt idx="3">
                  <c:v>430</c:v>
                </c:pt>
                <c:pt idx="4">
                  <c:v>440</c:v>
                </c:pt>
                <c:pt idx="5">
                  <c:v>450</c:v>
                </c:pt>
                <c:pt idx="6">
                  <c:v>460</c:v>
                </c:pt>
                <c:pt idx="7">
                  <c:v>470</c:v>
                </c:pt>
                <c:pt idx="8">
                  <c:v>480</c:v>
                </c:pt>
                <c:pt idx="9">
                  <c:v>490</c:v>
                </c:pt>
                <c:pt idx="10">
                  <c:v>500</c:v>
                </c:pt>
                <c:pt idx="11">
                  <c:v>510</c:v>
                </c:pt>
                <c:pt idx="12">
                  <c:v>520</c:v>
                </c:pt>
                <c:pt idx="13">
                  <c:v>530</c:v>
                </c:pt>
                <c:pt idx="14">
                  <c:v>540</c:v>
                </c:pt>
                <c:pt idx="15">
                  <c:v>550</c:v>
                </c:pt>
                <c:pt idx="16">
                  <c:v>560</c:v>
                </c:pt>
                <c:pt idx="17">
                  <c:v>570</c:v>
                </c:pt>
                <c:pt idx="18">
                  <c:v>580</c:v>
                </c:pt>
                <c:pt idx="19">
                  <c:v>590</c:v>
                </c:pt>
                <c:pt idx="20">
                  <c:v>600</c:v>
                </c:pt>
                <c:pt idx="21">
                  <c:v>610</c:v>
                </c:pt>
                <c:pt idx="22">
                  <c:v>620</c:v>
                </c:pt>
                <c:pt idx="23">
                  <c:v>630</c:v>
                </c:pt>
                <c:pt idx="24">
                  <c:v>640</c:v>
                </c:pt>
                <c:pt idx="25">
                  <c:v>650</c:v>
                </c:pt>
                <c:pt idx="26">
                  <c:v>660</c:v>
                </c:pt>
                <c:pt idx="27">
                  <c:v>670</c:v>
                </c:pt>
                <c:pt idx="28">
                  <c:v>680</c:v>
                </c:pt>
                <c:pt idx="29">
                  <c:v>690</c:v>
                </c:pt>
                <c:pt idx="30">
                  <c:v>700</c:v>
                </c:pt>
                <c:pt idx="31">
                  <c:v>710</c:v>
                </c:pt>
                <c:pt idx="32">
                  <c:v>720</c:v>
                </c:pt>
                <c:pt idx="33">
                  <c:v>730</c:v>
                </c:pt>
                <c:pt idx="34">
                  <c:v>740</c:v>
                </c:pt>
                <c:pt idx="35">
                  <c:v>750</c:v>
                </c:pt>
                <c:pt idx="36">
                  <c:v>760</c:v>
                </c:pt>
                <c:pt idx="37">
                  <c:v>770</c:v>
                </c:pt>
                <c:pt idx="38">
                  <c:v>780</c:v>
                </c:pt>
                <c:pt idx="39">
                  <c:v>790</c:v>
                </c:pt>
                <c:pt idx="40">
                  <c:v>800</c:v>
                </c:pt>
                <c:pt idx="41">
                  <c:v>810</c:v>
                </c:pt>
                <c:pt idx="42">
                  <c:v>820</c:v>
                </c:pt>
                <c:pt idx="43">
                  <c:v>830</c:v>
                </c:pt>
                <c:pt idx="44">
                  <c:v>840</c:v>
                </c:pt>
                <c:pt idx="45">
                  <c:v>850</c:v>
                </c:pt>
                <c:pt idx="46">
                  <c:v>860</c:v>
                </c:pt>
                <c:pt idx="47">
                  <c:v>870</c:v>
                </c:pt>
                <c:pt idx="48">
                  <c:v>880</c:v>
                </c:pt>
                <c:pt idx="49">
                  <c:v>890</c:v>
                </c:pt>
                <c:pt idx="50">
                  <c:v>900</c:v>
                </c:pt>
                <c:pt idx="51">
                  <c:v>910</c:v>
                </c:pt>
                <c:pt idx="52">
                  <c:v>920</c:v>
                </c:pt>
                <c:pt idx="53">
                  <c:v>930</c:v>
                </c:pt>
                <c:pt idx="54">
                  <c:v>940</c:v>
                </c:pt>
                <c:pt idx="55">
                  <c:v>950</c:v>
                </c:pt>
                <c:pt idx="56">
                  <c:v>960</c:v>
                </c:pt>
                <c:pt idx="57">
                  <c:v>970</c:v>
                </c:pt>
                <c:pt idx="58">
                  <c:v>980</c:v>
                </c:pt>
                <c:pt idx="59">
                  <c:v>990</c:v>
                </c:pt>
                <c:pt idx="60">
                  <c:v>1000</c:v>
                </c:pt>
                <c:pt idx="61">
                  <c:v>1010</c:v>
                </c:pt>
                <c:pt idx="62">
                  <c:v>1020</c:v>
                </c:pt>
                <c:pt idx="63">
                  <c:v>1030</c:v>
                </c:pt>
                <c:pt idx="64">
                  <c:v>1040</c:v>
                </c:pt>
                <c:pt idx="65">
                  <c:v>1050</c:v>
                </c:pt>
                <c:pt idx="66">
                  <c:v>1060</c:v>
                </c:pt>
                <c:pt idx="67">
                  <c:v>1070</c:v>
                </c:pt>
                <c:pt idx="68">
                  <c:v>1080</c:v>
                </c:pt>
                <c:pt idx="69">
                  <c:v>1090</c:v>
                </c:pt>
                <c:pt idx="70">
                  <c:v>1100</c:v>
                </c:pt>
                <c:pt idx="71">
                  <c:v>1110</c:v>
                </c:pt>
                <c:pt idx="72">
                  <c:v>1120</c:v>
                </c:pt>
                <c:pt idx="73">
                  <c:v>1130</c:v>
                </c:pt>
                <c:pt idx="74">
                  <c:v>1140</c:v>
                </c:pt>
                <c:pt idx="75">
                  <c:v>1150</c:v>
                </c:pt>
                <c:pt idx="76">
                  <c:v>1160</c:v>
                </c:pt>
                <c:pt idx="77">
                  <c:v>1170</c:v>
                </c:pt>
                <c:pt idx="78">
                  <c:v>1180</c:v>
                </c:pt>
                <c:pt idx="79">
                  <c:v>1190</c:v>
                </c:pt>
                <c:pt idx="80">
                  <c:v>1200</c:v>
                </c:pt>
                <c:pt idx="81">
                  <c:v>1210</c:v>
                </c:pt>
                <c:pt idx="82">
                  <c:v>1220</c:v>
                </c:pt>
                <c:pt idx="83">
                  <c:v>1230</c:v>
                </c:pt>
                <c:pt idx="84">
                  <c:v>1240</c:v>
                </c:pt>
                <c:pt idx="85">
                  <c:v>1250</c:v>
                </c:pt>
                <c:pt idx="86">
                  <c:v>1260</c:v>
                </c:pt>
                <c:pt idx="87">
                  <c:v>1270</c:v>
                </c:pt>
                <c:pt idx="88">
                  <c:v>1280</c:v>
                </c:pt>
                <c:pt idx="89">
                  <c:v>1290</c:v>
                </c:pt>
                <c:pt idx="90">
                  <c:v>1300</c:v>
                </c:pt>
                <c:pt idx="91">
                  <c:v>1310</c:v>
                </c:pt>
                <c:pt idx="92">
                  <c:v>1320</c:v>
                </c:pt>
                <c:pt idx="93">
                  <c:v>1330</c:v>
                </c:pt>
                <c:pt idx="94">
                  <c:v>1340</c:v>
                </c:pt>
                <c:pt idx="95">
                  <c:v>1350</c:v>
                </c:pt>
                <c:pt idx="96">
                  <c:v>1360</c:v>
                </c:pt>
                <c:pt idx="97">
                  <c:v>1370</c:v>
                </c:pt>
                <c:pt idx="98">
                  <c:v>1380</c:v>
                </c:pt>
                <c:pt idx="99">
                  <c:v>1390</c:v>
                </c:pt>
                <c:pt idx="100">
                  <c:v>1400</c:v>
                </c:pt>
                <c:pt idx="101">
                  <c:v>1410</c:v>
                </c:pt>
                <c:pt idx="102">
                  <c:v>1420</c:v>
                </c:pt>
                <c:pt idx="103">
                  <c:v>1430</c:v>
                </c:pt>
                <c:pt idx="104">
                  <c:v>1440</c:v>
                </c:pt>
                <c:pt idx="105">
                  <c:v>1450</c:v>
                </c:pt>
                <c:pt idx="106">
                  <c:v>1460</c:v>
                </c:pt>
                <c:pt idx="107">
                  <c:v>1470</c:v>
                </c:pt>
              </c:numCache>
            </c:numRef>
          </c:xVal>
          <c:yVal>
            <c:numRef>
              <c:f>W4Calc!$U$20:$U$127</c:f>
              <c:numCache>
                <c:formatCode>0.00</c:formatCode>
                <c:ptCount val="108"/>
                <c:pt idx="0">
                  <c:v>646.65</c:v>
                </c:pt>
                <c:pt idx="1">
                  <c:v>638.51</c:v>
                </c:pt>
                <c:pt idx="2">
                  <c:v>630.39</c:v>
                </c:pt>
                <c:pt idx="3">
                  <c:v>622.28</c:v>
                </c:pt>
                <c:pt idx="4">
                  <c:v>614.20000000000005</c:v>
                </c:pt>
                <c:pt idx="5">
                  <c:v>606.14</c:v>
                </c:pt>
                <c:pt idx="6">
                  <c:v>598.12</c:v>
                </c:pt>
                <c:pt idx="7">
                  <c:v>590.15</c:v>
                </c:pt>
                <c:pt idx="8">
                  <c:v>582.22</c:v>
                </c:pt>
                <c:pt idx="9">
                  <c:v>574.35</c:v>
                </c:pt>
                <c:pt idx="10">
                  <c:v>566.53</c:v>
                </c:pt>
                <c:pt idx="11">
                  <c:v>558.78</c:v>
                </c:pt>
                <c:pt idx="12">
                  <c:v>551.09</c:v>
                </c:pt>
                <c:pt idx="13">
                  <c:v>543.47</c:v>
                </c:pt>
                <c:pt idx="14">
                  <c:v>535.92999999999995</c:v>
                </c:pt>
                <c:pt idx="15">
                  <c:v>528.46</c:v>
                </c:pt>
                <c:pt idx="16">
                  <c:v>521.07000000000005</c:v>
                </c:pt>
                <c:pt idx="17">
                  <c:v>513.77</c:v>
                </c:pt>
                <c:pt idx="18">
                  <c:v>506.54</c:v>
                </c:pt>
                <c:pt idx="19">
                  <c:v>499.41</c:v>
                </c:pt>
                <c:pt idx="20">
                  <c:v>492.36</c:v>
                </c:pt>
                <c:pt idx="21">
                  <c:v>485.4</c:v>
                </c:pt>
                <c:pt idx="22">
                  <c:v>478.53</c:v>
                </c:pt>
                <c:pt idx="23">
                  <c:v>471.75</c:v>
                </c:pt>
                <c:pt idx="24">
                  <c:v>465.06</c:v>
                </c:pt>
                <c:pt idx="25">
                  <c:v>458.46</c:v>
                </c:pt>
                <c:pt idx="26">
                  <c:v>451.95</c:v>
                </c:pt>
                <c:pt idx="27">
                  <c:v>445.54</c:v>
                </c:pt>
                <c:pt idx="28">
                  <c:v>439.21</c:v>
                </c:pt>
                <c:pt idx="29">
                  <c:v>432.98</c:v>
                </c:pt>
                <c:pt idx="30">
                  <c:v>426.84</c:v>
                </c:pt>
                <c:pt idx="31">
                  <c:v>420.79</c:v>
                </c:pt>
                <c:pt idx="32">
                  <c:v>414.82</c:v>
                </c:pt>
                <c:pt idx="33">
                  <c:v>408.95</c:v>
                </c:pt>
                <c:pt idx="34">
                  <c:v>403.16</c:v>
                </c:pt>
                <c:pt idx="35">
                  <c:v>397.45</c:v>
                </c:pt>
                <c:pt idx="36">
                  <c:v>391.83</c:v>
                </c:pt>
                <c:pt idx="37">
                  <c:v>386.28</c:v>
                </c:pt>
                <c:pt idx="38">
                  <c:v>380.82</c:v>
                </c:pt>
                <c:pt idx="39">
                  <c:v>375.44</c:v>
                </c:pt>
                <c:pt idx="40">
                  <c:v>370.13</c:v>
                </c:pt>
                <c:pt idx="41">
                  <c:v>364.9</c:v>
                </c:pt>
                <c:pt idx="42">
                  <c:v>359.74</c:v>
                </c:pt>
                <c:pt idx="43">
                  <c:v>354.65</c:v>
                </c:pt>
                <c:pt idx="44">
                  <c:v>349.63</c:v>
                </c:pt>
                <c:pt idx="45">
                  <c:v>344.67</c:v>
                </c:pt>
                <c:pt idx="46">
                  <c:v>339.78</c:v>
                </c:pt>
                <c:pt idx="47">
                  <c:v>334.94</c:v>
                </c:pt>
                <c:pt idx="48">
                  <c:v>330.17</c:v>
                </c:pt>
                <c:pt idx="49">
                  <c:v>325.45</c:v>
                </c:pt>
                <c:pt idx="50">
                  <c:v>320.79000000000002</c:v>
                </c:pt>
                <c:pt idx="51">
                  <c:v>316.18</c:v>
                </c:pt>
                <c:pt idx="52">
                  <c:v>311.62</c:v>
                </c:pt>
                <c:pt idx="53">
                  <c:v>307.11</c:v>
                </c:pt>
                <c:pt idx="54">
                  <c:v>302.64</c:v>
                </c:pt>
                <c:pt idx="55">
                  <c:v>298.22000000000003</c:v>
                </c:pt>
                <c:pt idx="56">
                  <c:v>293.83999999999997</c:v>
                </c:pt>
                <c:pt idx="57">
                  <c:v>289.5</c:v>
                </c:pt>
                <c:pt idx="58">
                  <c:v>285.2</c:v>
                </c:pt>
                <c:pt idx="59">
                  <c:v>280.93</c:v>
                </c:pt>
                <c:pt idx="60">
                  <c:v>276.7</c:v>
                </c:pt>
                <c:pt idx="61">
                  <c:v>272.5</c:v>
                </c:pt>
                <c:pt idx="62">
                  <c:v>268.33</c:v>
                </c:pt>
                <c:pt idx="63">
                  <c:v>264.2</c:v>
                </c:pt>
                <c:pt idx="64">
                  <c:v>260.08999999999997</c:v>
                </c:pt>
                <c:pt idx="65">
                  <c:v>256.01</c:v>
                </c:pt>
                <c:pt idx="66">
                  <c:v>251.96</c:v>
                </c:pt>
                <c:pt idx="67">
                  <c:v>247.94</c:v>
                </c:pt>
                <c:pt idx="68">
                  <c:v>243.94</c:v>
                </c:pt>
                <c:pt idx="69">
                  <c:v>239.97</c:v>
                </c:pt>
                <c:pt idx="70">
                  <c:v>236.02</c:v>
                </c:pt>
                <c:pt idx="71">
                  <c:v>232.1</c:v>
                </c:pt>
                <c:pt idx="72">
                  <c:v>228.21</c:v>
                </c:pt>
                <c:pt idx="73">
                  <c:v>224.35</c:v>
                </c:pt>
                <c:pt idx="74">
                  <c:v>220.51</c:v>
                </c:pt>
                <c:pt idx="75">
                  <c:v>216.7</c:v>
                </c:pt>
                <c:pt idx="76">
                  <c:v>212.92</c:v>
                </c:pt>
                <c:pt idx="77">
                  <c:v>209.18</c:v>
                </c:pt>
                <c:pt idx="78">
                  <c:v>205.47</c:v>
                </c:pt>
                <c:pt idx="79">
                  <c:v>201.79</c:v>
                </c:pt>
                <c:pt idx="80">
                  <c:v>198.15</c:v>
                </c:pt>
                <c:pt idx="81">
                  <c:v>194.55</c:v>
                </c:pt>
                <c:pt idx="82">
                  <c:v>191</c:v>
                </c:pt>
                <c:pt idx="83">
                  <c:v>187.49</c:v>
                </c:pt>
                <c:pt idx="84">
                  <c:v>184.04</c:v>
                </c:pt>
                <c:pt idx="85">
                  <c:v>180.64</c:v>
                </c:pt>
                <c:pt idx="86">
                  <c:v>177.3</c:v>
                </c:pt>
                <c:pt idx="87">
                  <c:v>174.02</c:v>
                </c:pt>
                <c:pt idx="88">
                  <c:v>170.82</c:v>
                </c:pt>
                <c:pt idx="89">
                  <c:v>167.68</c:v>
                </c:pt>
                <c:pt idx="90">
                  <c:v>164.63</c:v>
                </c:pt>
                <c:pt idx="91">
                  <c:v>161.66999999999999</c:v>
                </c:pt>
                <c:pt idx="92">
                  <c:v>158.79</c:v>
                </c:pt>
                <c:pt idx="93">
                  <c:v>156.02000000000001</c:v>
                </c:pt>
                <c:pt idx="94">
                  <c:v>153.36000000000001</c:v>
                </c:pt>
                <c:pt idx="95">
                  <c:v>150.81</c:v>
                </c:pt>
                <c:pt idx="96">
                  <c:v>148.38999999999999</c:v>
                </c:pt>
                <c:pt idx="97">
                  <c:v>146.1</c:v>
                </c:pt>
                <c:pt idx="98">
                  <c:v>143.94999999999999</c:v>
                </c:pt>
                <c:pt idx="99">
                  <c:v>141.96</c:v>
                </c:pt>
                <c:pt idx="100">
                  <c:v>140.12</c:v>
                </c:pt>
                <c:pt idx="101">
                  <c:v>138.46</c:v>
                </c:pt>
                <c:pt idx="102">
                  <c:v>136.99</c:v>
                </c:pt>
                <c:pt idx="103">
                  <c:v>135.71</c:v>
                </c:pt>
                <c:pt idx="104">
                  <c:v>134.63</c:v>
                </c:pt>
                <c:pt idx="105">
                  <c:v>133.78</c:v>
                </c:pt>
                <c:pt idx="106">
                  <c:v>133.16999999999999</c:v>
                </c:pt>
                <c:pt idx="107">
                  <c:v>133</c:v>
                </c:pt>
              </c:numCache>
            </c:numRef>
          </c:yVal>
        </c:ser>
        <c:ser>
          <c:idx val="1"/>
          <c:order val="1"/>
          <c:tx>
            <c:v>70% Curve</c:v>
          </c:tx>
          <c:spPr>
            <a:ln w="25400">
              <a:solidFill>
                <a:srgbClr val="FF66FF"/>
              </a:solidFill>
            </a:ln>
          </c:spPr>
          <c:marker>
            <c:symbol val="none"/>
          </c:marker>
          <c:xVal>
            <c:numRef>
              <c:f>W4Calc!$O$5:$O$85</c:f>
              <c:numCache>
                <c:formatCode>0</c:formatCode>
                <c:ptCount val="81"/>
                <c:pt idx="0">
                  <c:v>250</c:v>
                </c:pt>
                <c:pt idx="1">
                  <c:v>260</c:v>
                </c:pt>
                <c:pt idx="2">
                  <c:v>270</c:v>
                </c:pt>
                <c:pt idx="3">
                  <c:v>280</c:v>
                </c:pt>
                <c:pt idx="4">
                  <c:v>290</c:v>
                </c:pt>
                <c:pt idx="5">
                  <c:v>300</c:v>
                </c:pt>
                <c:pt idx="6">
                  <c:v>310</c:v>
                </c:pt>
                <c:pt idx="7">
                  <c:v>320</c:v>
                </c:pt>
                <c:pt idx="8">
                  <c:v>330</c:v>
                </c:pt>
                <c:pt idx="9">
                  <c:v>340</c:v>
                </c:pt>
                <c:pt idx="10">
                  <c:v>350</c:v>
                </c:pt>
                <c:pt idx="11">
                  <c:v>360</c:v>
                </c:pt>
                <c:pt idx="12">
                  <c:v>370</c:v>
                </c:pt>
                <c:pt idx="13">
                  <c:v>380</c:v>
                </c:pt>
                <c:pt idx="14">
                  <c:v>390</c:v>
                </c:pt>
                <c:pt idx="15">
                  <c:v>400</c:v>
                </c:pt>
                <c:pt idx="16">
                  <c:v>410</c:v>
                </c:pt>
                <c:pt idx="17">
                  <c:v>420</c:v>
                </c:pt>
                <c:pt idx="18">
                  <c:v>430</c:v>
                </c:pt>
                <c:pt idx="19">
                  <c:v>440</c:v>
                </c:pt>
                <c:pt idx="20">
                  <c:v>450</c:v>
                </c:pt>
                <c:pt idx="21">
                  <c:v>460</c:v>
                </c:pt>
                <c:pt idx="22">
                  <c:v>470</c:v>
                </c:pt>
                <c:pt idx="23">
                  <c:v>480</c:v>
                </c:pt>
                <c:pt idx="24">
                  <c:v>490</c:v>
                </c:pt>
                <c:pt idx="25">
                  <c:v>500</c:v>
                </c:pt>
                <c:pt idx="26">
                  <c:v>510</c:v>
                </c:pt>
                <c:pt idx="27">
                  <c:v>520</c:v>
                </c:pt>
                <c:pt idx="28">
                  <c:v>530</c:v>
                </c:pt>
                <c:pt idx="29">
                  <c:v>540</c:v>
                </c:pt>
                <c:pt idx="30">
                  <c:v>550</c:v>
                </c:pt>
                <c:pt idx="31">
                  <c:v>560</c:v>
                </c:pt>
                <c:pt idx="32">
                  <c:v>570</c:v>
                </c:pt>
                <c:pt idx="33">
                  <c:v>580</c:v>
                </c:pt>
                <c:pt idx="34">
                  <c:v>590</c:v>
                </c:pt>
                <c:pt idx="35">
                  <c:v>600</c:v>
                </c:pt>
                <c:pt idx="36">
                  <c:v>610</c:v>
                </c:pt>
                <c:pt idx="37">
                  <c:v>620</c:v>
                </c:pt>
                <c:pt idx="38">
                  <c:v>630</c:v>
                </c:pt>
                <c:pt idx="39">
                  <c:v>640</c:v>
                </c:pt>
                <c:pt idx="40">
                  <c:v>650</c:v>
                </c:pt>
                <c:pt idx="41">
                  <c:v>660</c:v>
                </c:pt>
                <c:pt idx="42">
                  <c:v>670</c:v>
                </c:pt>
                <c:pt idx="43">
                  <c:v>680</c:v>
                </c:pt>
                <c:pt idx="44">
                  <c:v>690</c:v>
                </c:pt>
                <c:pt idx="45">
                  <c:v>700</c:v>
                </c:pt>
                <c:pt idx="46">
                  <c:v>710</c:v>
                </c:pt>
                <c:pt idx="47">
                  <c:v>720</c:v>
                </c:pt>
                <c:pt idx="48">
                  <c:v>730</c:v>
                </c:pt>
                <c:pt idx="49">
                  <c:v>740</c:v>
                </c:pt>
                <c:pt idx="50">
                  <c:v>750</c:v>
                </c:pt>
                <c:pt idx="51">
                  <c:v>760</c:v>
                </c:pt>
                <c:pt idx="52">
                  <c:v>770</c:v>
                </c:pt>
                <c:pt idx="53">
                  <c:v>780</c:v>
                </c:pt>
                <c:pt idx="54">
                  <c:v>790</c:v>
                </c:pt>
                <c:pt idx="55">
                  <c:v>800</c:v>
                </c:pt>
                <c:pt idx="56">
                  <c:v>810</c:v>
                </c:pt>
                <c:pt idx="57">
                  <c:v>820</c:v>
                </c:pt>
                <c:pt idx="58">
                  <c:v>830</c:v>
                </c:pt>
                <c:pt idx="59">
                  <c:v>840</c:v>
                </c:pt>
                <c:pt idx="60">
                  <c:v>850</c:v>
                </c:pt>
                <c:pt idx="61">
                  <c:v>860</c:v>
                </c:pt>
                <c:pt idx="62">
                  <c:v>870</c:v>
                </c:pt>
                <c:pt idx="63">
                  <c:v>880</c:v>
                </c:pt>
                <c:pt idx="64">
                  <c:v>890</c:v>
                </c:pt>
                <c:pt idx="65">
                  <c:v>900</c:v>
                </c:pt>
                <c:pt idx="66">
                  <c:v>910</c:v>
                </c:pt>
                <c:pt idx="67">
                  <c:v>920</c:v>
                </c:pt>
                <c:pt idx="68">
                  <c:v>930</c:v>
                </c:pt>
                <c:pt idx="69">
                  <c:v>940</c:v>
                </c:pt>
                <c:pt idx="70">
                  <c:v>950</c:v>
                </c:pt>
                <c:pt idx="71">
                  <c:v>960</c:v>
                </c:pt>
                <c:pt idx="72">
                  <c:v>970</c:v>
                </c:pt>
                <c:pt idx="73">
                  <c:v>980</c:v>
                </c:pt>
                <c:pt idx="74">
                  <c:v>990</c:v>
                </c:pt>
                <c:pt idx="75">
                  <c:v>1000</c:v>
                </c:pt>
                <c:pt idx="76">
                  <c:v>1010</c:v>
                </c:pt>
                <c:pt idx="77">
                  <c:v>1020</c:v>
                </c:pt>
                <c:pt idx="78">
                  <c:v>1030</c:v>
                </c:pt>
                <c:pt idx="79">
                  <c:v>1040</c:v>
                </c:pt>
                <c:pt idx="80">
                  <c:v>1050</c:v>
                </c:pt>
              </c:numCache>
            </c:numRef>
          </c:xVal>
          <c:yVal>
            <c:numRef>
              <c:f>W4Calc!$Q$5:$Q$85</c:f>
              <c:numCache>
                <c:formatCode>0.00</c:formatCode>
                <c:ptCount val="81"/>
                <c:pt idx="0">
                  <c:v>446.54</c:v>
                </c:pt>
                <c:pt idx="1">
                  <c:v>440.62</c:v>
                </c:pt>
                <c:pt idx="2">
                  <c:v>434.56</c:v>
                </c:pt>
                <c:pt idx="3">
                  <c:v>428.38</c:v>
                </c:pt>
                <c:pt idx="4">
                  <c:v>422.11</c:v>
                </c:pt>
                <c:pt idx="5">
                  <c:v>415.76</c:v>
                </c:pt>
                <c:pt idx="6">
                  <c:v>409.35</c:v>
                </c:pt>
                <c:pt idx="7">
                  <c:v>402.88</c:v>
                </c:pt>
                <c:pt idx="8">
                  <c:v>396.39</c:v>
                </c:pt>
                <c:pt idx="9">
                  <c:v>389.87</c:v>
                </c:pt>
                <c:pt idx="10">
                  <c:v>383.35</c:v>
                </c:pt>
                <c:pt idx="11">
                  <c:v>376.82</c:v>
                </c:pt>
                <c:pt idx="12">
                  <c:v>370.3</c:v>
                </c:pt>
                <c:pt idx="13">
                  <c:v>363.81</c:v>
                </c:pt>
                <c:pt idx="14">
                  <c:v>357.33</c:v>
                </c:pt>
                <c:pt idx="15">
                  <c:v>350.89</c:v>
                </c:pt>
                <c:pt idx="16">
                  <c:v>344.48</c:v>
                </c:pt>
                <c:pt idx="17">
                  <c:v>338.12</c:v>
                </c:pt>
                <c:pt idx="18">
                  <c:v>331.8</c:v>
                </c:pt>
                <c:pt idx="19">
                  <c:v>325.52999999999997</c:v>
                </c:pt>
                <c:pt idx="20">
                  <c:v>319.31</c:v>
                </c:pt>
                <c:pt idx="21">
                  <c:v>313.14</c:v>
                </c:pt>
                <c:pt idx="22">
                  <c:v>307.02999999999997</c:v>
                </c:pt>
                <c:pt idx="23">
                  <c:v>300.98</c:v>
                </c:pt>
                <c:pt idx="24">
                  <c:v>294.98</c:v>
                </c:pt>
                <c:pt idx="25">
                  <c:v>289.04000000000002</c:v>
                </c:pt>
                <c:pt idx="26">
                  <c:v>283.16000000000003</c:v>
                </c:pt>
                <c:pt idx="27">
                  <c:v>277.33999999999997</c:v>
                </c:pt>
                <c:pt idx="28">
                  <c:v>271.57</c:v>
                </c:pt>
                <c:pt idx="29">
                  <c:v>265.87</c:v>
                </c:pt>
                <c:pt idx="30">
                  <c:v>260.23</c:v>
                </c:pt>
                <c:pt idx="31">
                  <c:v>254.64</c:v>
                </c:pt>
                <c:pt idx="32">
                  <c:v>249.12</c:v>
                </c:pt>
                <c:pt idx="33">
                  <c:v>243.65</c:v>
                </c:pt>
                <c:pt idx="34">
                  <c:v>238.25</c:v>
                </c:pt>
                <c:pt idx="35">
                  <c:v>232.92</c:v>
                </c:pt>
                <c:pt idx="36">
                  <c:v>227.65</c:v>
                </c:pt>
                <c:pt idx="37">
                  <c:v>222.44</c:v>
                </c:pt>
                <c:pt idx="38">
                  <c:v>217.31</c:v>
                </c:pt>
                <c:pt idx="39">
                  <c:v>212.25</c:v>
                </c:pt>
                <c:pt idx="40">
                  <c:v>207.26</c:v>
                </c:pt>
                <c:pt idx="41">
                  <c:v>202.36</c:v>
                </c:pt>
                <c:pt idx="42">
                  <c:v>198.28</c:v>
                </c:pt>
                <c:pt idx="43">
                  <c:v>194.84</c:v>
                </c:pt>
                <c:pt idx="44">
                  <c:v>191.39</c:v>
                </c:pt>
                <c:pt idx="45">
                  <c:v>187.95</c:v>
                </c:pt>
                <c:pt idx="46">
                  <c:v>184.51</c:v>
                </c:pt>
                <c:pt idx="47">
                  <c:v>181.07</c:v>
                </c:pt>
                <c:pt idx="48">
                  <c:v>177.62</c:v>
                </c:pt>
                <c:pt idx="49">
                  <c:v>174.18</c:v>
                </c:pt>
                <c:pt idx="50">
                  <c:v>170.74</c:v>
                </c:pt>
                <c:pt idx="51">
                  <c:v>167.3</c:v>
                </c:pt>
                <c:pt idx="52">
                  <c:v>163.85</c:v>
                </c:pt>
                <c:pt idx="53">
                  <c:v>160.41</c:v>
                </c:pt>
                <c:pt idx="54">
                  <c:v>156.97</c:v>
                </c:pt>
                <c:pt idx="55">
                  <c:v>153.53</c:v>
                </c:pt>
                <c:pt idx="56">
                  <c:v>150.08000000000001</c:v>
                </c:pt>
                <c:pt idx="57">
                  <c:v>146.63999999999999</c:v>
                </c:pt>
                <c:pt idx="58">
                  <c:v>143.19999999999999</c:v>
                </c:pt>
                <c:pt idx="59">
                  <c:v>139.76</c:v>
                </c:pt>
                <c:pt idx="60">
                  <c:v>136.31</c:v>
                </c:pt>
                <c:pt idx="61">
                  <c:v>132.87</c:v>
                </c:pt>
                <c:pt idx="62">
                  <c:v>129.43</c:v>
                </c:pt>
                <c:pt idx="63">
                  <c:v>125.99</c:v>
                </c:pt>
                <c:pt idx="64">
                  <c:v>122.54</c:v>
                </c:pt>
                <c:pt idx="65">
                  <c:v>119.1</c:v>
                </c:pt>
                <c:pt idx="66">
                  <c:v>117.31</c:v>
                </c:pt>
                <c:pt idx="67">
                  <c:v>115.52</c:v>
                </c:pt>
                <c:pt idx="68">
                  <c:v>113.74</c:v>
                </c:pt>
                <c:pt idx="69">
                  <c:v>111.95</c:v>
                </c:pt>
                <c:pt idx="70">
                  <c:v>110.16</c:v>
                </c:pt>
                <c:pt idx="71">
                  <c:v>108.37</c:v>
                </c:pt>
                <c:pt idx="72">
                  <c:v>106.59</c:v>
                </c:pt>
                <c:pt idx="73">
                  <c:v>104.8</c:v>
                </c:pt>
                <c:pt idx="74">
                  <c:v>103.01</c:v>
                </c:pt>
                <c:pt idx="75">
                  <c:v>101.22</c:v>
                </c:pt>
                <c:pt idx="76">
                  <c:v>99.44</c:v>
                </c:pt>
                <c:pt idx="77">
                  <c:v>97.65</c:v>
                </c:pt>
                <c:pt idx="78">
                  <c:v>95.86</c:v>
                </c:pt>
                <c:pt idx="79">
                  <c:v>94.07</c:v>
                </c:pt>
                <c:pt idx="80">
                  <c:v>93</c:v>
                </c:pt>
              </c:numCache>
            </c:numRef>
          </c:yVal>
        </c:ser>
        <c:ser>
          <c:idx val="2"/>
          <c:order val="2"/>
          <c:tx>
            <c:v>133pph lower threshold</c:v>
          </c:tx>
          <c:spPr>
            <a:ln w="25400">
              <a:solidFill>
                <a:schemeClr val="tx1"/>
              </a:solidFill>
              <a:prstDash val="lgDashDotDot"/>
            </a:ln>
          </c:spPr>
          <c:marker>
            <c:symbol val="none"/>
          </c:marker>
          <c:xVal>
            <c:numRef>
              <c:f>W4Calc!$I$26:$I$27</c:f>
              <c:numCache>
                <c:formatCode>#,##0</c:formatCode>
                <c:ptCount val="2"/>
                <c:pt idx="0">
                  <c:v>200</c:v>
                </c:pt>
                <c:pt idx="1">
                  <c:v>1800</c:v>
                </c:pt>
              </c:numCache>
            </c:numRef>
          </c:xVal>
          <c:yVal>
            <c:numRef>
              <c:f>W4Calc!$J$26:$J$27</c:f>
              <c:numCache>
                <c:formatCode>#,##0</c:formatCode>
                <c:ptCount val="2"/>
                <c:pt idx="0">
                  <c:v>133</c:v>
                </c:pt>
                <c:pt idx="1">
                  <c:v>133</c:v>
                </c:pt>
              </c:numCache>
            </c:numRef>
          </c:yVal>
        </c:ser>
        <c:ser>
          <c:idx val="3"/>
          <c:order val="3"/>
          <c:tx>
            <c:v>93pph lower threshold</c:v>
          </c:tx>
          <c:spPr>
            <a:ln w="25400">
              <a:solidFill>
                <a:schemeClr val="tx1"/>
              </a:solidFill>
              <a:prstDash val="dash"/>
            </a:ln>
          </c:spPr>
          <c:marker>
            <c:symbol val="none"/>
          </c:marker>
          <c:xVal>
            <c:numRef>
              <c:f>W4Calc!$I$26:$I$27</c:f>
              <c:numCache>
                <c:formatCode>#,##0</c:formatCode>
                <c:ptCount val="2"/>
                <c:pt idx="0">
                  <c:v>200</c:v>
                </c:pt>
                <c:pt idx="1">
                  <c:v>1800</c:v>
                </c:pt>
              </c:numCache>
            </c:numRef>
          </c:xVal>
          <c:yVal>
            <c:numRef>
              <c:f>W4Calc!$K$26:$K$27</c:f>
              <c:numCache>
                <c:formatCode>#,##0</c:formatCode>
                <c:ptCount val="2"/>
                <c:pt idx="0">
                  <c:v>93</c:v>
                </c:pt>
                <c:pt idx="1">
                  <c:v>93</c:v>
                </c:pt>
              </c:numCache>
            </c:numRef>
          </c:yVal>
        </c:ser>
        <c:ser>
          <c:idx val="4"/>
          <c:order val="4"/>
          <c:tx>
            <c:strRef>
              <c:f>W4Calc!$I$20</c:f>
              <c:strCache>
                <c:ptCount val="1"/>
                <c:pt idx="0">
                  <c:v>100% Volume Level</c:v>
                </c:pt>
              </c:strCache>
            </c:strRef>
          </c:tx>
          <c:spPr>
            <a:ln>
              <a:noFill/>
            </a:ln>
          </c:spPr>
          <c:marker>
            <c:symbol val="star"/>
            <c:size val="10"/>
            <c:spPr>
              <a:noFill/>
              <a:ln w="25400">
                <a:solidFill>
                  <a:srgbClr val="FF0000"/>
                </a:solidFill>
              </a:ln>
            </c:spPr>
          </c:marker>
          <c:dLbls>
            <c:dLbl>
              <c:idx val="0"/>
              <c:tx>
                <c:strRef>
                  <c:f>W4Calc!$I$21</c:f>
                  <c:strCache>
                    <c:ptCount val="1"/>
                    <c:pt idx="0">
                      <c:v>12 AM</c:v>
                    </c:pt>
                  </c:strCache>
                </c:strRef>
              </c:tx>
              <c:dLblPos val="t"/>
              <c:showVal val="1"/>
            </c:dLbl>
            <c:txPr>
              <a:bodyPr rot="-2700000"/>
              <a:lstStyle/>
              <a:p>
                <a:pPr>
                  <a:defRPr b="1" i="0" baseline="0">
                    <a:solidFill>
                      <a:srgbClr val="FF0000"/>
                    </a:solidFill>
                  </a:defRPr>
                </a:pPr>
                <a:endParaRPr lang="en-US"/>
              </a:p>
            </c:txPr>
            <c:showVal val="1"/>
          </c:dLbls>
          <c:xVal>
            <c:numRef>
              <c:f>W4Calc!$J$21</c:f>
              <c:numCache>
                <c:formatCode>#,##0</c:formatCode>
                <c:ptCount val="1"/>
                <c:pt idx="0">
                  <c:v>0</c:v>
                </c:pt>
              </c:numCache>
            </c:numRef>
          </c:xVal>
          <c:yVal>
            <c:numRef>
              <c:f>W4Calc!$K$21</c:f>
              <c:numCache>
                <c:formatCode>#,##0</c:formatCode>
                <c:ptCount val="1"/>
                <c:pt idx="0">
                  <c:v>0</c:v>
                </c:pt>
              </c:numCache>
            </c:numRef>
          </c:yVal>
        </c:ser>
        <c:axId val="105467904"/>
        <c:axId val="105469824"/>
      </c:scatterChart>
      <c:valAx>
        <c:axId val="105467904"/>
        <c:scaling>
          <c:orientation val="minMax"/>
          <c:max val="1800"/>
          <c:min val="200"/>
        </c:scaling>
        <c:axPos val="b"/>
        <c:majorGridlines>
          <c:spPr>
            <a:ln w="12700">
              <a:solidFill>
                <a:sysClr val="windowText" lastClr="000000"/>
              </a:solidFill>
            </a:ln>
          </c:spPr>
        </c:majorGridlines>
        <c:title>
          <c:tx>
            <c:rich>
              <a:bodyPr/>
              <a:lstStyle/>
              <a:p>
                <a:pPr>
                  <a:defRPr/>
                </a:pPr>
                <a:r>
                  <a:rPr lang="en-US"/>
                  <a:t>MAJOR ROUTE, TOTAL OF BOTH APPROACHES - VEHICLES PER HOUR (VPH)</a:t>
                </a:r>
              </a:p>
            </c:rich>
          </c:tx>
          <c:layout>
            <c:manualLayout>
              <c:xMode val="edge"/>
              <c:yMode val="edge"/>
              <c:x val="0.11392082379478921"/>
              <c:y val="0.92654745549423911"/>
            </c:manualLayout>
          </c:layout>
        </c:title>
        <c:numFmt formatCode="0" sourceLinked="1"/>
        <c:tickLblPos val="nextTo"/>
        <c:spPr>
          <a:ln w="12700">
            <a:solidFill>
              <a:schemeClr val="tx1"/>
            </a:solidFill>
          </a:ln>
        </c:spPr>
        <c:txPr>
          <a:bodyPr rot="-2700000" anchor="b" anchorCtr="0"/>
          <a:lstStyle/>
          <a:p>
            <a:pPr>
              <a:defRPr/>
            </a:pPr>
            <a:endParaRPr lang="en-US"/>
          </a:p>
        </c:txPr>
        <c:crossAx val="105469824"/>
        <c:crosses val="autoZero"/>
        <c:crossBetween val="midCat"/>
        <c:majorUnit val="100"/>
        <c:minorUnit val="20"/>
      </c:valAx>
      <c:valAx>
        <c:axId val="105469824"/>
        <c:scaling>
          <c:orientation val="minMax"/>
          <c:max val="700"/>
          <c:min val="0"/>
        </c:scaling>
        <c:axPos val="l"/>
        <c:majorGridlines>
          <c:spPr>
            <a:ln w="12700">
              <a:solidFill>
                <a:sysClr val="windowText" lastClr="000000"/>
              </a:solidFill>
            </a:ln>
          </c:spPr>
        </c:majorGridlines>
        <c:title>
          <c:tx>
            <c:rich>
              <a:bodyPr rot="-5400000" vert="horz"/>
              <a:lstStyle/>
              <a:p>
                <a:pPr>
                  <a:defRPr/>
                </a:pPr>
                <a:r>
                  <a:rPr lang="en-US"/>
                  <a:t>TOTAL OF ALL PEDS CROSSING MAJOR</a:t>
                </a:r>
              </a:p>
              <a:p>
                <a:pPr>
                  <a:defRPr/>
                </a:pPr>
                <a:r>
                  <a:rPr lang="en-US"/>
                  <a:t>ROUTE - PDES PER HOUR (PPH)</a:t>
                </a:r>
              </a:p>
            </c:rich>
          </c:tx>
          <c:layout>
            <c:manualLayout>
              <c:xMode val="edge"/>
              <c:yMode val="edge"/>
              <c:x val="0"/>
              <c:y val="2.916366094592044E-2"/>
            </c:manualLayout>
          </c:layout>
        </c:title>
        <c:numFmt formatCode="0" sourceLinked="0"/>
        <c:tickLblPos val="nextTo"/>
        <c:spPr>
          <a:ln w="12700">
            <a:solidFill>
              <a:sysClr val="windowText" lastClr="000000"/>
            </a:solidFill>
          </a:ln>
        </c:spPr>
        <c:crossAx val="105467904"/>
        <c:crosses val="autoZero"/>
        <c:crossBetween val="midCat"/>
        <c:majorUnit val="100"/>
        <c:minorUnit val="10"/>
      </c:valAx>
      <c:spPr>
        <a:ln w="12700">
          <a:solidFill>
            <a:sysClr val="windowText" lastClr="000000"/>
          </a:solidFill>
        </a:ln>
      </c:spPr>
    </c:plotArea>
    <c:legend>
      <c:legendPos val="r"/>
      <c:layout>
        <c:manualLayout>
          <c:xMode val="edge"/>
          <c:yMode val="edge"/>
          <c:x val="0.7891266467090976"/>
          <c:y val="4.9493955919075412E-2"/>
          <c:w val="0.20592119275825346"/>
          <c:h val="0.72345187689371515"/>
        </c:manualLayout>
      </c:layout>
      <c:txPr>
        <a:bodyPr/>
        <a:lstStyle/>
        <a:p>
          <a:pPr>
            <a:defRPr sz="800" baseline="0">
              <a:latin typeface="Arial" pitchFamily="34" charset="0"/>
            </a:defRPr>
          </a:pPr>
          <a:endParaRPr lang="en-US"/>
        </a:p>
      </c:txPr>
    </c:legend>
    <c:plotVisOnly val="1"/>
    <c:dispBlanksAs val="gap"/>
  </c:chart>
  <c:spPr>
    <a:ln w="25400">
      <a:solidFill>
        <a:sysClr val="windowText" lastClr="000000"/>
      </a:solidFill>
    </a:ln>
  </c:spPr>
  <c:printSettings>
    <c:headerFooter/>
    <c:pageMargins b="0.75000000000000266" l="0.70000000000000062" r="0.70000000000000062" t="0.75000000000000266"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lang val="en-US"/>
  <c:chart>
    <c:autoTitleDeleted val="1"/>
    <c:plotArea>
      <c:layout>
        <c:manualLayout>
          <c:layoutTarget val="inner"/>
          <c:xMode val="edge"/>
          <c:yMode val="edge"/>
          <c:x val="0.12722520353745637"/>
          <c:y val="5.2502375984875588E-2"/>
          <c:w val="0.68549051278092499"/>
          <c:h val="0.78159495579920057"/>
        </c:manualLayout>
      </c:layout>
      <c:scatterChart>
        <c:scatterStyle val="lineMarker"/>
        <c:ser>
          <c:idx val="1"/>
          <c:order val="0"/>
          <c:tx>
            <c:strRef>
              <c:f>W9Calc!$H$2</c:f>
              <c:strCache>
                <c:ptCount val="1"/>
                <c:pt idx="0">
                  <c:v>D = 30 ft</c:v>
                </c:pt>
              </c:strCache>
            </c:strRef>
          </c:tx>
          <c:spPr>
            <a:ln w="38100">
              <a:solidFill>
                <a:srgbClr val="0000FF"/>
              </a:solidFill>
            </a:ln>
          </c:spPr>
          <c:marker>
            <c:symbol val="none"/>
          </c:marker>
          <c:xVal>
            <c:numRef>
              <c:f>W9Calc!$H$4:$H$15</c:f>
              <c:numCache>
                <c:formatCode>0</c:formatCode>
                <c:ptCount val="12"/>
                <c:pt idx="0">
                  <c:v>50</c:v>
                </c:pt>
                <c:pt idx="1">
                  <c:v>100</c:v>
                </c:pt>
                <c:pt idx="2">
                  <c:v>150</c:v>
                </c:pt>
                <c:pt idx="3">
                  <c:v>200</c:v>
                </c:pt>
                <c:pt idx="4">
                  <c:v>250</c:v>
                </c:pt>
                <c:pt idx="5">
                  <c:v>300</c:v>
                </c:pt>
                <c:pt idx="6">
                  <c:v>350</c:v>
                </c:pt>
                <c:pt idx="7">
                  <c:v>400</c:v>
                </c:pt>
                <c:pt idx="8">
                  <c:v>450</c:v>
                </c:pt>
                <c:pt idx="9">
                  <c:v>500</c:v>
                </c:pt>
                <c:pt idx="10">
                  <c:v>600</c:v>
                </c:pt>
                <c:pt idx="11">
                  <c:v>800</c:v>
                </c:pt>
              </c:numCache>
            </c:numRef>
          </c:xVal>
          <c:yVal>
            <c:numRef>
              <c:f>W9Calc!$I$4:$I$15</c:f>
              <c:numCache>
                <c:formatCode>0.00</c:formatCode>
                <c:ptCount val="12"/>
                <c:pt idx="0">
                  <c:v>66.849999999999994</c:v>
                </c:pt>
                <c:pt idx="1">
                  <c:v>34.659999999999997</c:v>
                </c:pt>
                <c:pt idx="2">
                  <c:v>24.999999999999996</c:v>
                </c:pt>
                <c:pt idx="3">
                  <c:v>25</c:v>
                </c:pt>
                <c:pt idx="4">
                  <c:v>25</c:v>
                </c:pt>
                <c:pt idx="5">
                  <c:v>25</c:v>
                </c:pt>
                <c:pt idx="6">
                  <c:v>25</c:v>
                </c:pt>
                <c:pt idx="7">
                  <c:v>25</c:v>
                </c:pt>
                <c:pt idx="8">
                  <c:v>25</c:v>
                </c:pt>
                <c:pt idx="9">
                  <c:v>25</c:v>
                </c:pt>
                <c:pt idx="10">
                  <c:v>25</c:v>
                </c:pt>
                <c:pt idx="11">
                  <c:v>25</c:v>
                </c:pt>
              </c:numCache>
            </c:numRef>
          </c:yVal>
        </c:ser>
        <c:ser>
          <c:idx val="0"/>
          <c:order val="1"/>
          <c:tx>
            <c:v>Minor Approach Traffic</c:v>
          </c:tx>
          <c:spPr>
            <a:ln w="28575">
              <a:noFill/>
            </a:ln>
          </c:spPr>
          <c:marker>
            <c:symbol val="diamond"/>
            <c:size val="7"/>
            <c:spPr>
              <a:noFill/>
              <a:ln w="25400">
                <a:solidFill>
                  <a:srgbClr val="FF0000"/>
                </a:solidFill>
              </a:ln>
            </c:spPr>
          </c:marker>
          <c:dLbls>
            <c:dLbl>
              <c:idx val="0"/>
              <c:tx>
                <c:strRef>
                  <c:f>W9Calc!$F$23</c:f>
                  <c:strCache>
                    <c:ptCount val="1"/>
                  </c:strCache>
                </c:strRef>
              </c:tx>
              <c:dLblPos val="t"/>
              <c:showVal val="1"/>
            </c:dLbl>
            <c:txPr>
              <a:bodyPr rot="-2400000"/>
              <a:lstStyle/>
              <a:p>
                <a:pPr>
                  <a:defRPr sz="900" b="1" i="0" baseline="0">
                    <a:solidFill>
                      <a:srgbClr val="FF0000"/>
                    </a:solidFill>
                    <a:latin typeface="Arial" pitchFamily="34" charset="0"/>
                  </a:defRPr>
                </a:pPr>
                <a:endParaRPr lang="en-US"/>
              </a:p>
            </c:txPr>
            <c:showVal val="1"/>
          </c:dLbls>
          <c:xVal>
            <c:numRef>
              <c:f>W9Calc!$F$29</c:f>
              <c:numCache>
                <c:formatCode>#,##0</c:formatCode>
                <c:ptCount val="1"/>
                <c:pt idx="0">
                  <c:v>-100</c:v>
                </c:pt>
              </c:numCache>
            </c:numRef>
          </c:xVal>
          <c:yVal>
            <c:numRef>
              <c:f>W9Calc!$G$29</c:f>
              <c:numCache>
                <c:formatCode>#,##0.00</c:formatCode>
                <c:ptCount val="1"/>
                <c:pt idx="0">
                  <c:v>-100</c:v>
                </c:pt>
              </c:numCache>
            </c:numRef>
          </c:yVal>
        </c:ser>
        <c:ser>
          <c:idx val="2"/>
          <c:order val="2"/>
          <c:tx>
            <c:strRef>
              <c:f>W9Calc!$K$29</c:f>
              <c:strCache>
                <c:ptCount val="1"/>
                <c:pt idx="0">
                  <c:v>D = 30ft</c:v>
                </c:pt>
              </c:strCache>
            </c:strRef>
          </c:tx>
          <c:spPr>
            <a:ln w="12700">
              <a:solidFill>
                <a:srgbClr val="FFC000"/>
              </a:solidFill>
              <a:prstDash val="dash"/>
            </a:ln>
          </c:spPr>
          <c:marker>
            <c:symbol val="none"/>
          </c:marker>
          <c:xVal>
            <c:numRef>
              <c:f>W9Calc!$J$17:$J$28</c:f>
              <c:numCache>
                <c:formatCode>0</c:formatCode>
                <c:ptCount val="12"/>
                <c:pt idx="0">
                  <c:v>50</c:v>
                </c:pt>
                <c:pt idx="1">
                  <c:v>100</c:v>
                </c:pt>
                <c:pt idx="2">
                  <c:v>150</c:v>
                </c:pt>
                <c:pt idx="3">
                  <c:v>200</c:v>
                </c:pt>
                <c:pt idx="4">
                  <c:v>250</c:v>
                </c:pt>
                <c:pt idx="5">
                  <c:v>300</c:v>
                </c:pt>
                <c:pt idx="6">
                  <c:v>350</c:v>
                </c:pt>
                <c:pt idx="7">
                  <c:v>400</c:v>
                </c:pt>
                <c:pt idx="8">
                  <c:v>450</c:v>
                </c:pt>
                <c:pt idx="9">
                  <c:v>500</c:v>
                </c:pt>
                <c:pt idx="10">
                  <c:v>600</c:v>
                </c:pt>
                <c:pt idx="11">
                  <c:v>800</c:v>
                </c:pt>
              </c:numCache>
            </c:numRef>
          </c:xVal>
          <c:yVal>
            <c:numRef>
              <c:f>W9Calc!$K$17:$K$28</c:f>
              <c:numCache>
                <c:formatCode>0.00</c:formatCode>
                <c:ptCount val="12"/>
                <c:pt idx="0">
                  <c:v>66.849999999999994</c:v>
                </c:pt>
                <c:pt idx="1">
                  <c:v>34.659999999999997</c:v>
                </c:pt>
                <c:pt idx="2">
                  <c:v>24.999999999999996</c:v>
                </c:pt>
                <c:pt idx="3">
                  <c:v>25</c:v>
                </c:pt>
                <c:pt idx="4">
                  <c:v>25</c:v>
                </c:pt>
                <c:pt idx="5">
                  <c:v>25</c:v>
                </c:pt>
                <c:pt idx="6">
                  <c:v>25</c:v>
                </c:pt>
                <c:pt idx="7">
                  <c:v>25</c:v>
                </c:pt>
                <c:pt idx="8">
                  <c:v>25</c:v>
                </c:pt>
                <c:pt idx="9">
                  <c:v>25</c:v>
                </c:pt>
                <c:pt idx="10">
                  <c:v>25</c:v>
                </c:pt>
                <c:pt idx="11">
                  <c:v>25</c:v>
                </c:pt>
              </c:numCache>
            </c:numRef>
          </c:yVal>
        </c:ser>
        <c:ser>
          <c:idx val="3"/>
          <c:order val="3"/>
          <c:tx>
            <c:strRef>
              <c:f>W9Calc!$L$29</c:f>
              <c:strCache>
                <c:ptCount val="1"/>
                <c:pt idx="0">
                  <c:v>D = 50ft</c:v>
                </c:pt>
              </c:strCache>
            </c:strRef>
          </c:tx>
          <c:spPr>
            <a:ln w="12700">
              <a:solidFill>
                <a:srgbClr val="00B050"/>
              </a:solidFill>
              <a:prstDash val="dash"/>
            </a:ln>
          </c:spPr>
          <c:marker>
            <c:symbol val="none"/>
          </c:marker>
          <c:xVal>
            <c:numRef>
              <c:f>W9Calc!$J$17:$J$28</c:f>
              <c:numCache>
                <c:formatCode>0</c:formatCode>
                <c:ptCount val="12"/>
                <c:pt idx="0">
                  <c:v>50</c:v>
                </c:pt>
                <c:pt idx="1">
                  <c:v>100</c:v>
                </c:pt>
                <c:pt idx="2">
                  <c:v>150</c:v>
                </c:pt>
                <c:pt idx="3">
                  <c:v>200</c:v>
                </c:pt>
                <c:pt idx="4">
                  <c:v>250</c:v>
                </c:pt>
                <c:pt idx="5">
                  <c:v>300</c:v>
                </c:pt>
                <c:pt idx="6">
                  <c:v>350</c:v>
                </c:pt>
                <c:pt idx="7">
                  <c:v>400</c:v>
                </c:pt>
                <c:pt idx="8">
                  <c:v>450</c:v>
                </c:pt>
                <c:pt idx="9">
                  <c:v>500</c:v>
                </c:pt>
                <c:pt idx="10">
                  <c:v>600</c:v>
                </c:pt>
                <c:pt idx="11">
                  <c:v>800</c:v>
                </c:pt>
              </c:numCache>
            </c:numRef>
          </c:xVal>
          <c:yVal>
            <c:numRef>
              <c:f>W9Calc!$L$17:$L$28</c:f>
              <c:numCache>
                <c:formatCode>0.00</c:formatCode>
                <c:ptCount val="12"/>
                <c:pt idx="0">
                  <c:v>79.89</c:v>
                </c:pt>
                <c:pt idx="1">
                  <c:v>44.89</c:v>
                </c:pt>
                <c:pt idx="2">
                  <c:v>25.000000000000007</c:v>
                </c:pt>
                <c:pt idx="3">
                  <c:v>25</c:v>
                </c:pt>
                <c:pt idx="4">
                  <c:v>25</c:v>
                </c:pt>
                <c:pt idx="5">
                  <c:v>25</c:v>
                </c:pt>
                <c:pt idx="6">
                  <c:v>25</c:v>
                </c:pt>
                <c:pt idx="7">
                  <c:v>25</c:v>
                </c:pt>
                <c:pt idx="8">
                  <c:v>25</c:v>
                </c:pt>
                <c:pt idx="9">
                  <c:v>25</c:v>
                </c:pt>
                <c:pt idx="10">
                  <c:v>25</c:v>
                </c:pt>
                <c:pt idx="11">
                  <c:v>25</c:v>
                </c:pt>
              </c:numCache>
            </c:numRef>
          </c:yVal>
        </c:ser>
        <c:ser>
          <c:idx val="4"/>
          <c:order val="4"/>
          <c:tx>
            <c:strRef>
              <c:f>W9Calc!$N$29</c:f>
              <c:strCache>
                <c:ptCount val="1"/>
                <c:pt idx="0">
                  <c:v>D = 70ft</c:v>
                </c:pt>
              </c:strCache>
            </c:strRef>
          </c:tx>
          <c:spPr>
            <a:ln w="12700">
              <a:solidFill>
                <a:srgbClr val="FF0000"/>
              </a:solidFill>
              <a:prstDash val="dash"/>
            </a:ln>
          </c:spPr>
          <c:marker>
            <c:symbol val="none"/>
          </c:marker>
          <c:xVal>
            <c:numRef>
              <c:f>W9Calc!$M$17:$M$28</c:f>
              <c:numCache>
                <c:formatCode>0</c:formatCode>
                <c:ptCount val="12"/>
                <c:pt idx="0">
                  <c:v>50</c:v>
                </c:pt>
                <c:pt idx="1">
                  <c:v>100</c:v>
                </c:pt>
                <c:pt idx="2">
                  <c:v>150</c:v>
                </c:pt>
                <c:pt idx="3">
                  <c:v>200</c:v>
                </c:pt>
                <c:pt idx="4">
                  <c:v>250</c:v>
                </c:pt>
                <c:pt idx="5">
                  <c:v>300</c:v>
                </c:pt>
                <c:pt idx="6">
                  <c:v>350</c:v>
                </c:pt>
                <c:pt idx="7">
                  <c:v>400</c:v>
                </c:pt>
                <c:pt idx="8">
                  <c:v>450</c:v>
                </c:pt>
                <c:pt idx="9">
                  <c:v>500</c:v>
                </c:pt>
                <c:pt idx="10">
                  <c:v>600</c:v>
                </c:pt>
                <c:pt idx="11">
                  <c:v>800</c:v>
                </c:pt>
              </c:numCache>
            </c:numRef>
          </c:xVal>
          <c:yVal>
            <c:numRef>
              <c:f>W9Calc!$N$17:$N$28</c:f>
              <c:numCache>
                <c:formatCode>0.00</c:formatCode>
                <c:ptCount val="12"/>
                <c:pt idx="0">
                  <c:v>138.03999830000001</c:v>
                </c:pt>
                <c:pt idx="1">
                  <c:v>114.85666330000001</c:v>
                </c:pt>
                <c:pt idx="2">
                  <c:v>91.673328300000009</c:v>
                </c:pt>
                <c:pt idx="3">
                  <c:v>68.490006699999995</c:v>
                </c:pt>
                <c:pt idx="4">
                  <c:v>56.833341699999998</c:v>
                </c:pt>
                <c:pt idx="5">
                  <c:v>45.176676700000002</c:v>
                </c:pt>
                <c:pt idx="6">
                  <c:v>33.519999999999996</c:v>
                </c:pt>
                <c:pt idx="7">
                  <c:v>30.68</c:v>
                </c:pt>
                <c:pt idx="8">
                  <c:v>25</c:v>
                </c:pt>
                <c:pt idx="9">
                  <c:v>25</c:v>
                </c:pt>
                <c:pt idx="10">
                  <c:v>25</c:v>
                </c:pt>
                <c:pt idx="11">
                  <c:v>25</c:v>
                </c:pt>
              </c:numCache>
            </c:numRef>
          </c:yVal>
        </c:ser>
        <c:ser>
          <c:idx val="5"/>
          <c:order val="5"/>
          <c:tx>
            <c:strRef>
              <c:f>W9Calc!$O$29</c:f>
              <c:strCache>
                <c:ptCount val="1"/>
                <c:pt idx="0">
                  <c:v>D = 90ft</c:v>
                </c:pt>
              </c:strCache>
            </c:strRef>
          </c:tx>
          <c:spPr>
            <a:ln w="12700">
              <a:solidFill>
                <a:srgbClr val="FFC000"/>
              </a:solidFill>
            </a:ln>
          </c:spPr>
          <c:marker>
            <c:symbol val="none"/>
          </c:marker>
          <c:xVal>
            <c:numRef>
              <c:f>W9Calc!$M$17:$M$28</c:f>
              <c:numCache>
                <c:formatCode>0</c:formatCode>
                <c:ptCount val="12"/>
                <c:pt idx="0">
                  <c:v>50</c:v>
                </c:pt>
                <c:pt idx="1">
                  <c:v>100</c:v>
                </c:pt>
                <c:pt idx="2">
                  <c:v>150</c:v>
                </c:pt>
                <c:pt idx="3">
                  <c:v>200</c:v>
                </c:pt>
                <c:pt idx="4">
                  <c:v>250</c:v>
                </c:pt>
                <c:pt idx="5">
                  <c:v>300</c:v>
                </c:pt>
                <c:pt idx="6">
                  <c:v>350</c:v>
                </c:pt>
                <c:pt idx="7">
                  <c:v>400</c:v>
                </c:pt>
                <c:pt idx="8">
                  <c:v>450</c:v>
                </c:pt>
                <c:pt idx="9">
                  <c:v>500</c:v>
                </c:pt>
                <c:pt idx="10">
                  <c:v>600</c:v>
                </c:pt>
                <c:pt idx="11">
                  <c:v>800</c:v>
                </c:pt>
              </c:numCache>
            </c:numRef>
          </c:xVal>
          <c:yVal>
            <c:numRef>
              <c:f>W9Calc!$O$17:$O$28</c:f>
              <c:numCache>
                <c:formatCode>0.00</c:formatCode>
                <c:ptCount val="12"/>
                <c:pt idx="0">
                  <c:v>165.76</c:v>
                </c:pt>
                <c:pt idx="1">
                  <c:v>146.465</c:v>
                </c:pt>
                <c:pt idx="2">
                  <c:v>127.16999999999999</c:v>
                </c:pt>
                <c:pt idx="3">
                  <c:v>105.43</c:v>
                </c:pt>
                <c:pt idx="4">
                  <c:v>80.975000000000009</c:v>
                </c:pt>
                <c:pt idx="5">
                  <c:v>55.44</c:v>
                </c:pt>
                <c:pt idx="6">
                  <c:v>50</c:v>
                </c:pt>
                <c:pt idx="7">
                  <c:v>37.5</c:v>
                </c:pt>
                <c:pt idx="8">
                  <c:v>25</c:v>
                </c:pt>
                <c:pt idx="9">
                  <c:v>25</c:v>
                </c:pt>
                <c:pt idx="10">
                  <c:v>25</c:v>
                </c:pt>
                <c:pt idx="11">
                  <c:v>25</c:v>
                </c:pt>
              </c:numCache>
            </c:numRef>
          </c:yVal>
        </c:ser>
        <c:ser>
          <c:idx val="6"/>
          <c:order val="6"/>
          <c:tx>
            <c:strRef>
              <c:f>W9Calc!$P$29</c:f>
              <c:strCache>
                <c:ptCount val="1"/>
                <c:pt idx="0">
                  <c:v>D = 110ft</c:v>
                </c:pt>
              </c:strCache>
            </c:strRef>
          </c:tx>
          <c:spPr>
            <a:ln w="12700">
              <a:solidFill>
                <a:srgbClr val="00B050"/>
              </a:solidFill>
            </a:ln>
          </c:spPr>
          <c:marker>
            <c:symbol val="none"/>
          </c:marker>
          <c:xVal>
            <c:numRef>
              <c:f>W9Calc!$M$17:$M$28</c:f>
              <c:numCache>
                <c:formatCode>0</c:formatCode>
                <c:ptCount val="12"/>
                <c:pt idx="0">
                  <c:v>50</c:v>
                </c:pt>
                <c:pt idx="1">
                  <c:v>100</c:v>
                </c:pt>
                <c:pt idx="2">
                  <c:v>150</c:v>
                </c:pt>
                <c:pt idx="3">
                  <c:v>200</c:v>
                </c:pt>
                <c:pt idx="4">
                  <c:v>250</c:v>
                </c:pt>
                <c:pt idx="5">
                  <c:v>300</c:v>
                </c:pt>
                <c:pt idx="6">
                  <c:v>350</c:v>
                </c:pt>
                <c:pt idx="7">
                  <c:v>400</c:v>
                </c:pt>
                <c:pt idx="8">
                  <c:v>450</c:v>
                </c:pt>
                <c:pt idx="9">
                  <c:v>500</c:v>
                </c:pt>
                <c:pt idx="10">
                  <c:v>600</c:v>
                </c:pt>
                <c:pt idx="11">
                  <c:v>800</c:v>
                </c:pt>
              </c:numCache>
            </c:numRef>
          </c:xVal>
          <c:yVal>
            <c:numRef>
              <c:f>W9Calc!$P$17:$P$28</c:f>
              <c:numCache>
                <c:formatCode>0.00</c:formatCode>
                <c:ptCount val="12"/>
                <c:pt idx="0">
                  <c:v>191.29999999999998</c:v>
                </c:pt>
                <c:pt idx="1">
                  <c:v>166.03</c:v>
                </c:pt>
                <c:pt idx="2">
                  <c:v>140.76</c:v>
                </c:pt>
                <c:pt idx="3">
                  <c:v>115.49</c:v>
                </c:pt>
                <c:pt idx="4">
                  <c:v>90.22</c:v>
                </c:pt>
                <c:pt idx="5">
                  <c:v>60.87</c:v>
                </c:pt>
                <c:pt idx="6">
                  <c:v>52.709999999999994</c:v>
                </c:pt>
                <c:pt idx="7">
                  <c:v>38.85499999999999</c:v>
                </c:pt>
                <c:pt idx="8">
                  <c:v>25</c:v>
                </c:pt>
                <c:pt idx="9">
                  <c:v>25</c:v>
                </c:pt>
                <c:pt idx="10">
                  <c:v>25</c:v>
                </c:pt>
                <c:pt idx="11">
                  <c:v>25</c:v>
                </c:pt>
              </c:numCache>
            </c:numRef>
          </c:yVal>
        </c:ser>
        <c:ser>
          <c:idx val="7"/>
          <c:order val="7"/>
          <c:tx>
            <c:strRef>
              <c:f>W9Calc!$Q$29</c:f>
              <c:strCache>
                <c:ptCount val="1"/>
                <c:pt idx="0">
                  <c:v>D = 130ft</c:v>
                </c:pt>
              </c:strCache>
            </c:strRef>
          </c:tx>
          <c:spPr>
            <a:ln w="12700">
              <a:solidFill>
                <a:srgbClr val="FF0000"/>
              </a:solidFill>
            </a:ln>
          </c:spPr>
          <c:marker>
            <c:symbol val="none"/>
          </c:marker>
          <c:xVal>
            <c:numRef>
              <c:f>W9Calc!$M$17:$M$28</c:f>
              <c:numCache>
                <c:formatCode>0</c:formatCode>
                <c:ptCount val="12"/>
                <c:pt idx="0">
                  <c:v>50</c:v>
                </c:pt>
                <c:pt idx="1">
                  <c:v>100</c:v>
                </c:pt>
                <c:pt idx="2">
                  <c:v>150</c:v>
                </c:pt>
                <c:pt idx="3">
                  <c:v>200</c:v>
                </c:pt>
                <c:pt idx="4">
                  <c:v>250</c:v>
                </c:pt>
                <c:pt idx="5">
                  <c:v>300</c:v>
                </c:pt>
                <c:pt idx="6">
                  <c:v>350</c:v>
                </c:pt>
                <c:pt idx="7">
                  <c:v>400</c:v>
                </c:pt>
                <c:pt idx="8">
                  <c:v>450</c:v>
                </c:pt>
                <c:pt idx="9">
                  <c:v>500</c:v>
                </c:pt>
                <c:pt idx="10">
                  <c:v>600</c:v>
                </c:pt>
                <c:pt idx="11">
                  <c:v>800</c:v>
                </c:pt>
              </c:numCache>
            </c:numRef>
          </c:xVal>
          <c:yVal>
            <c:numRef>
              <c:f>W9Calc!$Q$17:$Q$28</c:f>
              <c:numCache>
                <c:formatCode>0.00</c:formatCode>
                <c:ptCount val="12"/>
                <c:pt idx="0">
                  <c:v>223.91</c:v>
                </c:pt>
                <c:pt idx="1">
                  <c:v>192.38799999999998</c:v>
                </c:pt>
                <c:pt idx="2">
                  <c:v>160.86599999999999</c:v>
                </c:pt>
                <c:pt idx="3">
                  <c:v>129.34399999999999</c:v>
                </c:pt>
                <c:pt idx="4">
                  <c:v>97.821999999999974</c:v>
                </c:pt>
                <c:pt idx="5">
                  <c:v>66.300000000000011</c:v>
                </c:pt>
                <c:pt idx="6">
                  <c:v>57.070000000000007</c:v>
                </c:pt>
                <c:pt idx="7">
                  <c:v>41.034999999999997</c:v>
                </c:pt>
                <c:pt idx="8">
                  <c:v>25</c:v>
                </c:pt>
                <c:pt idx="9">
                  <c:v>25</c:v>
                </c:pt>
                <c:pt idx="10">
                  <c:v>25</c:v>
                </c:pt>
                <c:pt idx="11">
                  <c:v>25</c:v>
                </c:pt>
              </c:numCache>
            </c:numRef>
          </c:yVal>
        </c:ser>
        <c:axId val="105590144"/>
        <c:axId val="105616896"/>
      </c:scatterChart>
      <c:valAx>
        <c:axId val="105590144"/>
        <c:scaling>
          <c:orientation val="minMax"/>
          <c:max val="800"/>
          <c:min val="0"/>
        </c:scaling>
        <c:axPos val="b"/>
        <c:majorGridlines>
          <c:spPr>
            <a:ln w="12700">
              <a:solidFill>
                <a:schemeClr val="tx1"/>
              </a:solidFill>
            </a:ln>
          </c:spPr>
        </c:majorGridlines>
        <c:title>
          <c:tx>
            <c:rich>
              <a:bodyPr rot="0"/>
              <a:lstStyle/>
              <a:p>
                <a:pPr>
                  <a:defRPr/>
                </a:pPr>
                <a:r>
                  <a:rPr lang="en-US" sz="1000" baseline="0">
                    <a:latin typeface="+mn-lt"/>
                  </a:rPr>
                  <a:t>MAJOR ROUTE:  TOTAL OF BOTH APPROACHES - VEHICLES PER HOUR (VPH)</a:t>
                </a:r>
              </a:p>
            </c:rich>
          </c:tx>
          <c:layout>
            <c:manualLayout>
              <c:xMode val="edge"/>
              <c:yMode val="edge"/>
              <c:x val="0.15956249895514713"/>
              <c:y val="0.93524720893141944"/>
            </c:manualLayout>
          </c:layout>
        </c:title>
        <c:numFmt formatCode="#,##0" sourceLinked="0"/>
        <c:minorTickMark val="cross"/>
        <c:tickLblPos val="nextTo"/>
        <c:spPr>
          <a:ln w="12700">
            <a:solidFill>
              <a:sysClr val="windowText" lastClr="000000"/>
            </a:solidFill>
          </a:ln>
        </c:spPr>
        <c:txPr>
          <a:bodyPr rot="-2700000"/>
          <a:lstStyle/>
          <a:p>
            <a:pPr>
              <a:defRPr/>
            </a:pPr>
            <a:endParaRPr lang="en-US"/>
          </a:p>
        </c:txPr>
        <c:crossAx val="105616896"/>
        <c:crosses val="autoZero"/>
        <c:crossBetween val="midCat"/>
        <c:majorUnit val="100"/>
        <c:minorUnit val="50"/>
      </c:valAx>
      <c:valAx>
        <c:axId val="105616896"/>
        <c:scaling>
          <c:orientation val="minMax"/>
          <c:max val="350"/>
          <c:min val="0"/>
        </c:scaling>
        <c:axPos val="l"/>
        <c:majorGridlines>
          <c:spPr>
            <a:ln w="12700">
              <a:solidFill>
                <a:sysClr val="windowText" lastClr="000000"/>
              </a:solidFill>
            </a:ln>
          </c:spPr>
        </c:majorGridlines>
        <c:title>
          <c:tx>
            <c:rich>
              <a:bodyPr rot="-5400000" vert="horz"/>
              <a:lstStyle/>
              <a:p>
                <a:pPr>
                  <a:defRPr/>
                </a:pPr>
                <a:r>
                  <a:rPr lang="en-US"/>
                  <a:t>MINOR</a:t>
                </a:r>
                <a:r>
                  <a:rPr lang="en-US" baseline="0"/>
                  <a:t> ROUTE CROSSING APPROACH - </a:t>
                </a:r>
              </a:p>
              <a:p>
                <a:pPr>
                  <a:defRPr/>
                </a:pPr>
                <a:r>
                  <a:rPr lang="en-US" baseline="0"/>
                  <a:t>EQUIVALENT VPH *</a:t>
                </a:r>
                <a:endParaRPr lang="en-US"/>
              </a:p>
            </c:rich>
          </c:tx>
          <c:layout/>
        </c:title>
        <c:numFmt formatCode="0" sourceLinked="0"/>
        <c:tickLblPos val="nextTo"/>
        <c:spPr>
          <a:ln w="12700">
            <a:solidFill>
              <a:schemeClr val="tx1"/>
            </a:solidFill>
          </a:ln>
        </c:spPr>
        <c:crossAx val="105590144"/>
        <c:crosses val="autoZero"/>
        <c:crossBetween val="midCat"/>
        <c:majorUnit val="50"/>
        <c:minorUnit val="10"/>
      </c:valAx>
      <c:spPr>
        <a:noFill/>
      </c:spPr>
    </c:plotArea>
    <c:legend>
      <c:legendPos val="r"/>
      <c:layout>
        <c:manualLayout>
          <c:xMode val="edge"/>
          <c:yMode val="edge"/>
          <c:x val="0.81134903385945589"/>
          <c:y val="3.8461538461538464E-2"/>
          <c:w val="0.18865096614054466"/>
          <c:h val="0.7937926509186356"/>
        </c:manualLayout>
      </c:layout>
      <c:txPr>
        <a:bodyPr/>
        <a:lstStyle/>
        <a:p>
          <a:pPr>
            <a:defRPr sz="900" baseline="0"/>
          </a:pPr>
          <a:endParaRPr lang="en-US"/>
        </a:p>
      </c:txPr>
    </c:legend>
    <c:plotVisOnly val="1"/>
    <c:dispBlanksAs val="zero"/>
  </c:chart>
  <c:spPr>
    <a:noFill/>
    <a:ln w="25400">
      <a:solidFill>
        <a:schemeClr val="tx1"/>
      </a:solidFill>
    </a:ln>
  </c:spPr>
  <c:printSettings>
    <c:headerFooter/>
    <c:pageMargins b="0.75000000000000244" l="0.70000000000000062" r="0.70000000000000062" t="0.75000000000000244" header="0.30000000000000032" footer="0.30000000000000032"/>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3.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_rels/drawing4.xml.rels><?xml version="1.0" encoding="UTF-8" standalone="yes"?>
<Relationships xmlns="http://schemas.openxmlformats.org/package/2006/relationships"><Relationship Id="rId3" Type="http://schemas.openxmlformats.org/officeDocument/2006/relationships/image" Target="../media/image2.tiff"/><Relationship Id="rId2" Type="http://schemas.openxmlformats.org/officeDocument/2006/relationships/chart" Target="../charts/chart7.xml"/><Relationship Id="rId1" Type="http://schemas.openxmlformats.org/officeDocument/2006/relationships/image" Target="../media/image1.tiff"/></Relationships>
</file>

<file path=xl/drawings/drawing1.xml><?xml version="1.0" encoding="utf-8"?>
<xdr:wsDr xmlns:xdr="http://schemas.openxmlformats.org/drawingml/2006/spreadsheetDrawing" xmlns:a="http://schemas.openxmlformats.org/drawingml/2006/main">
  <xdr:twoCellAnchor>
    <xdr:from>
      <xdr:col>2</xdr:col>
      <xdr:colOff>28575</xdr:colOff>
      <xdr:row>20</xdr:row>
      <xdr:rowOff>152399</xdr:rowOff>
    </xdr:from>
    <xdr:to>
      <xdr:col>34</xdr:col>
      <xdr:colOff>152400</xdr:colOff>
      <xdr:row>39</xdr:row>
      <xdr:rowOff>123824</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28575</xdr:colOff>
      <xdr:row>46</xdr:row>
      <xdr:rowOff>9525</xdr:rowOff>
    </xdr:from>
    <xdr:to>
      <xdr:col>34</xdr:col>
      <xdr:colOff>152400</xdr:colOff>
      <xdr:row>64</xdr:row>
      <xdr:rowOff>123825</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2</xdr:col>
      <xdr:colOff>38100</xdr:colOff>
      <xdr:row>19</xdr:row>
      <xdr:rowOff>1</xdr:rowOff>
    </xdr:from>
    <xdr:to>
      <xdr:col>34</xdr:col>
      <xdr:colOff>142874</xdr:colOff>
      <xdr:row>34</xdr:row>
      <xdr:rowOff>114300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38100</xdr:colOff>
      <xdr:row>41</xdr:row>
      <xdr:rowOff>1</xdr:rowOff>
    </xdr:from>
    <xdr:to>
      <xdr:col>34</xdr:col>
      <xdr:colOff>142874</xdr:colOff>
      <xdr:row>56</xdr:row>
      <xdr:rowOff>114300</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2</xdr:col>
      <xdr:colOff>0</xdr:colOff>
      <xdr:row>25</xdr:row>
      <xdr:rowOff>2</xdr:rowOff>
    </xdr:from>
    <xdr:to>
      <xdr:col>35</xdr:col>
      <xdr:colOff>0</xdr:colOff>
      <xdr:row>43</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48</xdr:row>
      <xdr:rowOff>9525</xdr:rowOff>
    </xdr:from>
    <xdr:to>
      <xdr:col>34</xdr:col>
      <xdr:colOff>171450</xdr:colOff>
      <xdr:row>66</xdr:row>
      <xdr:rowOff>1</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oneCell">
    <xdr:from>
      <xdr:col>19</xdr:col>
      <xdr:colOff>80563</xdr:colOff>
      <xdr:row>22</xdr:row>
      <xdr:rowOff>80562</xdr:rowOff>
    </xdr:from>
    <xdr:to>
      <xdr:col>34</xdr:col>
      <xdr:colOff>109138</xdr:colOff>
      <xdr:row>34</xdr:row>
      <xdr:rowOff>82122</xdr:rowOff>
    </xdr:to>
    <xdr:pic>
      <xdr:nvPicPr>
        <xdr:cNvPr id="4" name="Picture 3" descr="Warrant9_Diagram_2PlusLanes_Mod.tif"/>
        <xdr:cNvPicPr>
          <a:picLocks noChangeAspect="1"/>
        </xdr:cNvPicPr>
      </xdr:nvPicPr>
      <xdr:blipFill>
        <a:blip xmlns:r="http://schemas.openxmlformats.org/officeDocument/2006/relationships" r:embed="rId1" cstate="print"/>
        <a:srcRect l="506" t="755" r="506" b="755"/>
        <a:stretch>
          <a:fillRect/>
        </a:stretch>
      </xdr:blipFill>
      <xdr:spPr>
        <a:xfrm>
          <a:off x="3395263" y="2442762"/>
          <a:ext cx="2743200" cy="1830360"/>
        </a:xfrm>
        <a:prstGeom prst="rect">
          <a:avLst/>
        </a:prstGeom>
        <a:ln w="12700">
          <a:solidFill>
            <a:schemeClr val="tx1"/>
          </a:solidFill>
        </a:ln>
      </xdr:spPr>
    </xdr:pic>
    <xdr:clientData/>
  </xdr:twoCellAnchor>
  <xdr:twoCellAnchor>
    <xdr:from>
      <xdr:col>1</xdr:col>
      <xdr:colOff>9525</xdr:colOff>
      <xdr:row>38</xdr:row>
      <xdr:rowOff>0</xdr:rowOff>
    </xdr:from>
    <xdr:to>
      <xdr:col>35</xdr:col>
      <xdr:colOff>171450</xdr:colOff>
      <xdr:row>62</xdr:row>
      <xdr:rowOff>152399</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2</xdr:col>
      <xdr:colOff>78067</xdr:colOff>
      <xdr:row>22</xdr:row>
      <xdr:rowOff>72181</xdr:rowOff>
    </xdr:from>
    <xdr:to>
      <xdr:col>17</xdr:col>
      <xdr:colOff>106642</xdr:colOff>
      <xdr:row>34</xdr:row>
      <xdr:rowOff>72181</xdr:rowOff>
    </xdr:to>
    <xdr:pic>
      <xdr:nvPicPr>
        <xdr:cNvPr id="6" name="Picture 5" descr="Warrant9_Diagram_1Lane_Mod.tif"/>
        <xdr:cNvPicPr>
          <a:picLocks/>
        </xdr:cNvPicPr>
      </xdr:nvPicPr>
      <xdr:blipFill>
        <a:blip xmlns:r="http://schemas.openxmlformats.org/officeDocument/2006/relationships" r:embed="rId3" cstate="print"/>
        <a:srcRect l="1457" t="870" r="1457" b="435"/>
        <a:stretch>
          <a:fillRect/>
        </a:stretch>
      </xdr:blipFill>
      <xdr:spPr>
        <a:xfrm>
          <a:off x="316192" y="2434381"/>
          <a:ext cx="2743200" cy="1828800"/>
        </a:xfrm>
        <a:prstGeom prst="rect">
          <a:avLst/>
        </a:prstGeom>
        <a:ln w="12700">
          <a:solidFill>
            <a:schemeClr val="tx1"/>
          </a:solid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sheetPr codeName="Sheet4"/>
  <dimension ref="A1:BT78"/>
  <sheetViews>
    <sheetView showGridLines="0" tabSelected="1" workbookViewId="0">
      <selection activeCell="G4" sqref="G4:O4"/>
    </sheetView>
  </sheetViews>
  <sheetFormatPr defaultColWidth="2.7109375" defaultRowHeight="15"/>
  <cols>
    <col min="1" max="1" width="0.85546875" customWidth="1"/>
    <col min="37" max="37" width="0.85546875" customWidth="1"/>
    <col min="39" max="39" width="2.7109375" customWidth="1"/>
    <col min="40" max="52" width="2.7109375" hidden="1" customWidth="1"/>
    <col min="53" max="53" width="2.7109375" customWidth="1"/>
  </cols>
  <sheetData>
    <row r="1" spans="1:40" ht="6" customHeight="1">
      <c r="A1" s="46"/>
      <c r="B1" s="19"/>
      <c r="C1" s="19"/>
      <c r="D1" s="19"/>
      <c r="E1" s="19"/>
      <c r="F1" s="19"/>
      <c r="G1" s="19"/>
      <c r="H1" s="19"/>
      <c r="I1" s="19"/>
      <c r="J1" s="19"/>
      <c r="K1" s="19"/>
      <c r="L1" s="19"/>
      <c r="M1" s="19"/>
      <c r="N1" s="19"/>
      <c r="O1" s="19"/>
      <c r="P1" s="19"/>
      <c r="Q1" s="19"/>
      <c r="R1" s="19"/>
      <c r="S1" s="19"/>
      <c r="T1" s="19"/>
      <c r="U1" s="19"/>
      <c r="V1" s="19"/>
      <c r="W1" s="19"/>
      <c r="X1" s="19"/>
      <c r="Y1" s="19"/>
      <c r="Z1" s="19"/>
      <c r="AA1" s="19"/>
      <c r="AB1" s="19"/>
      <c r="AC1" s="19"/>
      <c r="AD1" s="19"/>
      <c r="AE1" s="19"/>
      <c r="AF1" s="19"/>
      <c r="AG1" s="19"/>
      <c r="AH1" s="19"/>
      <c r="AI1" s="19"/>
      <c r="AJ1" s="19"/>
      <c r="AK1" s="47"/>
    </row>
    <row r="2" spans="1:40" ht="9.9499999999999993" customHeight="1">
      <c r="A2" s="48"/>
      <c r="B2" s="492" t="s">
        <v>293</v>
      </c>
      <c r="C2" s="492"/>
      <c r="D2" s="492"/>
      <c r="E2" s="492"/>
      <c r="F2" s="492"/>
      <c r="G2" s="492"/>
      <c r="H2" s="492"/>
      <c r="I2" s="492"/>
      <c r="J2" s="492"/>
      <c r="K2" s="492"/>
      <c r="L2" s="492"/>
      <c r="M2" s="492"/>
      <c r="N2" s="492"/>
      <c r="O2" s="492"/>
      <c r="P2" s="492"/>
      <c r="Q2" s="492"/>
      <c r="R2" s="492"/>
      <c r="S2" s="492"/>
      <c r="T2" s="492"/>
      <c r="U2" s="492"/>
      <c r="V2" s="492"/>
      <c r="W2" s="492"/>
      <c r="X2" s="492"/>
      <c r="Y2" s="492"/>
      <c r="Z2" s="492"/>
      <c r="AA2" s="492"/>
      <c r="AB2" s="492"/>
      <c r="AC2" s="492"/>
      <c r="AD2" s="492"/>
      <c r="AE2" s="492"/>
      <c r="AF2" s="492"/>
      <c r="AG2" s="492"/>
      <c r="AH2" s="492"/>
      <c r="AI2" s="492"/>
      <c r="AJ2" s="492"/>
      <c r="AK2" s="49"/>
    </row>
    <row r="3" spans="1:40" ht="9.9499999999999993" customHeight="1">
      <c r="A3" s="48"/>
      <c r="B3" s="492"/>
      <c r="C3" s="492"/>
      <c r="D3" s="492"/>
      <c r="E3" s="492"/>
      <c r="F3" s="492"/>
      <c r="G3" s="492"/>
      <c r="H3" s="492"/>
      <c r="I3" s="492"/>
      <c r="J3" s="492"/>
      <c r="K3" s="492"/>
      <c r="L3" s="492"/>
      <c r="M3" s="492"/>
      <c r="N3" s="492"/>
      <c r="O3" s="492"/>
      <c r="P3" s="492"/>
      <c r="Q3" s="492"/>
      <c r="R3" s="492"/>
      <c r="S3" s="492"/>
      <c r="T3" s="492"/>
      <c r="U3" s="492"/>
      <c r="V3" s="492"/>
      <c r="W3" s="492"/>
      <c r="X3" s="492"/>
      <c r="Y3" s="492"/>
      <c r="Z3" s="492"/>
      <c r="AA3" s="492"/>
      <c r="AB3" s="492"/>
      <c r="AC3" s="492"/>
      <c r="AD3" s="492"/>
      <c r="AE3" s="492"/>
      <c r="AF3" s="492"/>
      <c r="AG3" s="492"/>
      <c r="AH3" s="492"/>
      <c r="AI3" s="492"/>
      <c r="AJ3" s="492"/>
      <c r="AK3" s="49"/>
    </row>
    <row r="4" spans="1:40" ht="15" customHeight="1">
      <c r="A4" s="48"/>
      <c r="B4" s="26"/>
      <c r="C4" s="26"/>
      <c r="D4" s="26"/>
      <c r="E4" s="31"/>
      <c r="F4" s="31" t="s">
        <v>0</v>
      </c>
      <c r="G4" s="493"/>
      <c r="H4" s="493"/>
      <c r="I4" s="493"/>
      <c r="J4" s="493"/>
      <c r="K4" s="493"/>
      <c r="L4" s="493"/>
      <c r="M4" s="493"/>
      <c r="N4" s="493"/>
      <c r="O4" s="493"/>
      <c r="P4" s="31"/>
      <c r="Q4" s="31"/>
      <c r="R4" s="26"/>
      <c r="S4" s="26"/>
      <c r="T4" s="26"/>
      <c r="U4" s="26"/>
      <c r="V4" s="26"/>
      <c r="W4" s="26"/>
      <c r="X4" s="31" t="s">
        <v>16</v>
      </c>
      <c r="Y4" s="493"/>
      <c r="Z4" s="493"/>
      <c r="AA4" s="493"/>
      <c r="AB4" s="493"/>
      <c r="AC4" s="493"/>
      <c r="AD4" s="493"/>
      <c r="AE4" s="493"/>
      <c r="AF4" s="493"/>
      <c r="AG4" s="493"/>
      <c r="AH4" s="493"/>
      <c r="AI4" s="493"/>
      <c r="AJ4" s="26"/>
      <c r="AK4" s="49"/>
    </row>
    <row r="5" spans="1:40" ht="15" customHeight="1">
      <c r="A5" s="48"/>
      <c r="B5" s="26"/>
      <c r="C5" s="26"/>
      <c r="D5" s="26"/>
      <c r="E5" s="31"/>
      <c r="F5" s="31" t="s">
        <v>1</v>
      </c>
      <c r="G5" s="491"/>
      <c r="H5" s="491"/>
      <c r="I5" s="491"/>
      <c r="J5" s="491"/>
      <c r="K5" s="491"/>
      <c r="L5" s="491"/>
      <c r="M5" s="491"/>
      <c r="N5" s="491"/>
      <c r="O5" s="491"/>
      <c r="P5" s="31"/>
      <c r="Q5" s="31"/>
      <c r="R5" s="31"/>
      <c r="S5" s="31"/>
      <c r="T5" s="31"/>
      <c r="U5" s="31"/>
      <c r="V5" s="31"/>
      <c r="W5" s="31"/>
      <c r="X5" s="31" t="s">
        <v>3</v>
      </c>
      <c r="Y5" s="494"/>
      <c r="Z5" s="493"/>
      <c r="AA5" s="493"/>
      <c r="AB5" s="493"/>
      <c r="AC5" s="493"/>
      <c r="AD5" s="493"/>
      <c r="AE5" s="493"/>
      <c r="AF5" s="493"/>
      <c r="AG5" s="493"/>
      <c r="AH5" s="493"/>
      <c r="AI5" s="493"/>
      <c r="AJ5" s="26"/>
      <c r="AK5" s="49"/>
    </row>
    <row r="6" spans="1:40" ht="15" customHeight="1">
      <c r="A6" s="48"/>
      <c r="B6" s="26"/>
      <c r="C6" s="26"/>
      <c r="D6" s="26"/>
      <c r="E6" s="31"/>
      <c r="F6" s="31" t="s">
        <v>2</v>
      </c>
      <c r="G6" s="491"/>
      <c r="H6" s="491"/>
      <c r="I6" s="491"/>
      <c r="J6" s="491"/>
      <c r="K6" s="491"/>
      <c r="L6" s="491"/>
      <c r="M6" s="491"/>
      <c r="N6" s="491"/>
      <c r="O6" s="491"/>
      <c r="P6" s="31"/>
      <c r="Q6" s="31"/>
      <c r="R6" s="31"/>
      <c r="S6" s="31"/>
      <c r="T6" s="31"/>
      <c r="U6" s="31"/>
      <c r="V6" s="31"/>
      <c r="W6" s="31"/>
      <c r="X6" s="31" t="s">
        <v>17</v>
      </c>
      <c r="Y6" s="491"/>
      <c r="Z6" s="491"/>
      <c r="AA6" s="491"/>
      <c r="AB6" s="491"/>
      <c r="AC6" s="491"/>
      <c r="AD6" s="491"/>
      <c r="AE6" s="491"/>
      <c r="AF6" s="491"/>
      <c r="AG6" s="491"/>
      <c r="AH6" s="491"/>
      <c r="AI6" s="491"/>
      <c r="AJ6" s="26"/>
      <c r="AK6" s="49"/>
    </row>
    <row r="7" spans="1:40" ht="15" customHeight="1">
      <c r="A7" s="48"/>
      <c r="B7" s="26"/>
      <c r="C7" s="26"/>
      <c r="D7" s="26"/>
      <c r="E7" s="31"/>
      <c r="F7" s="31" t="s">
        <v>18</v>
      </c>
      <c r="G7" s="495"/>
      <c r="H7" s="491"/>
      <c r="I7" s="491"/>
      <c r="J7" s="491"/>
      <c r="K7" s="491"/>
      <c r="L7" s="491"/>
      <c r="M7" s="491"/>
      <c r="N7" s="491"/>
      <c r="O7" s="491"/>
      <c r="P7" s="284"/>
      <c r="Q7" s="284"/>
      <c r="R7" s="31"/>
      <c r="S7" s="31"/>
      <c r="T7" s="31"/>
      <c r="U7" s="31"/>
      <c r="V7" s="31"/>
      <c r="W7" s="31"/>
      <c r="X7" s="31" t="s">
        <v>19</v>
      </c>
      <c r="Y7" s="491"/>
      <c r="Z7" s="491"/>
      <c r="AA7" s="491"/>
      <c r="AB7" s="491"/>
      <c r="AC7" s="491"/>
      <c r="AD7" s="491"/>
      <c r="AE7" s="491"/>
      <c r="AF7" s="491"/>
      <c r="AG7" s="491"/>
      <c r="AH7" s="491"/>
      <c r="AI7" s="491"/>
      <c r="AJ7" s="26"/>
      <c r="AK7" s="49"/>
    </row>
    <row r="8" spans="1:40" ht="6" customHeight="1">
      <c r="A8" s="48"/>
      <c r="B8" s="26"/>
      <c r="C8" s="26"/>
      <c r="D8" s="26"/>
      <c r="E8" s="26"/>
      <c r="F8" s="26"/>
      <c r="G8" s="284"/>
      <c r="H8" s="285"/>
      <c r="I8" s="284"/>
      <c r="J8" s="285"/>
      <c r="K8" s="284"/>
      <c r="L8" s="285"/>
      <c r="M8" s="284"/>
      <c r="N8" s="285"/>
      <c r="O8" s="284"/>
      <c r="P8" s="285"/>
      <c r="Q8" s="284"/>
      <c r="R8" s="26"/>
      <c r="S8" s="31"/>
      <c r="T8" s="26"/>
      <c r="U8" s="26"/>
      <c r="V8" s="26"/>
      <c r="W8" s="26"/>
      <c r="X8" s="26"/>
      <c r="Y8" s="26"/>
      <c r="Z8" s="26"/>
      <c r="AA8" s="26"/>
      <c r="AB8" s="26"/>
      <c r="AC8" s="26"/>
      <c r="AD8" s="26"/>
      <c r="AE8" s="26"/>
      <c r="AF8" s="26"/>
      <c r="AG8" s="26"/>
      <c r="AH8" s="26"/>
      <c r="AI8" s="26"/>
      <c r="AJ8" s="26"/>
      <c r="AK8" s="49"/>
    </row>
    <row r="9" spans="1:40">
      <c r="A9" s="48"/>
      <c r="B9" s="29"/>
      <c r="C9" s="26"/>
      <c r="D9" s="26"/>
      <c r="E9" s="31"/>
      <c r="F9" s="31" t="s">
        <v>22</v>
      </c>
      <c r="G9" s="493"/>
      <c r="H9" s="493"/>
      <c r="I9" s="493"/>
      <c r="J9" s="493"/>
      <c r="K9" s="493"/>
      <c r="L9" s="493"/>
      <c r="M9" s="493"/>
      <c r="N9" s="493"/>
      <c r="O9" s="493"/>
      <c r="P9" s="493"/>
      <c r="Q9" s="493"/>
      <c r="R9" s="30"/>
      <c r="S9" s="30"/>
      <c r="T9" s="27"/>
      <c r="U9" s="26"/>
      <c r="V9" s="31" t="s">
        <v>20</v>
      </c>
      <c r="W9" s="436"/>
      <c r="X9" s="26"/>
      <c r="Y9" s="27"/>
      <c r="Z9" s="31"/>
      <c r="AA9" s="26"/>
      <c r="AB9" s="31"/>
      <c r="AC9" s="26"/>
      <c r="AD9" s="26"/>
      <c r="AE9" s="31"/>
      <c r="AF9" s="31"/>
      <c r="AG9" s="31" t="s">
        <v>21</v>
      </c>
      <c r="AH9" s="505"/>
      <c r="AI9" s="505"/>
      <c r="AJ9" s="26"/>
      <c r="AK9" s="49"/>
    </row>
    <row r="10" spans="1:40">
      <c r="A10" s="48"/>
      <c r="B10" s="26"/>
      <c r="C10" s="26"/>
      <c r="D10" s="26"/>
      <c r="E10" s="31"/>
      <c r="F10" s="31" t="s">
        <v>23</v>
      </c>
      <c r="G10" s="491"/>
      <c r="H10" s="491"/>
      <c r="I10" s="491"/>
      <c r="J10" s="491"/>
      <c r="K10" s="491"/>
      <c r="L10" s="491"/>
      <c r="M10" s="491"/>
      <c r="N10" s="491"/>
      <c r="O10" s="491"/>
      <c r="P10" s="491"/>
      <c r="Q10" s="491"/>
      <c r="R10" s="30"/>
      <c r="S10" s="30"/>
      <c r="T10" s="27"/>
      <c r="U10" s="26"/>
      <c r="V10" s="31" t="s">
        <v>20</v>
      </c>
      <c r="W10" s="435"/>
      <c r="X10" s="27"/>
      <c r="Y10" s="27"/>
      <c r="Z10" s="31"/>
      <c r="AA10" s="26"/>
      <c r="AB10" s="26"/>
      <c r="AC10" s="26"/>
      <c r="AD10" s="26"/>
      <c r="AE10" s="26"/>
      <c r="AF10" s="26"/>
      <c r="AG10" s="31"/>
      <c r="AH10" s="31"/>
      <c r="AI10" s="31"/>
      <c r="AJ10" s="26"/>
      <c r="AK10" s="49"/>
    </row>
    <row r="11" spans="1:40" ht="6" customHeight="1">
      <c r="A11" s="48"/>
      <c r="B11" s="34"/>
      <c r="C11" s="34"/>
      <c r="D11" s="34"/>
      <c r="E11" s="34"/>
      <c r="F11" s="34"/>
      <c r="G11" s="34"/>
      <c r="H11" s="34"/>
      <c r="I11" s="34"/>
      <c r="J11" s="34"/>
      <c r="K11" s="34"/>
      <c r="L11" s="34"/>
      <c r="M11" s="34"/>
      <c r="N11" s="34"/>
      <c r="O11" s="34"/>
      <c r="P11" s="34"/>
      <c r="Q11" s="34"/>
      <c r="R11" s="34"/>
      <c r="S11" s="34"/>
      <c r="T11" s="34"/>
      <c r="U11" s="34"/>
      <c r="V11" s="34"/>
      <c r="W11" s="34"/>
      <c r="X11" s="34"/>
      <c r="Y11" s="34"/>
      <c r="Z11" s="34"/>
      <c r="AA11" s="34"/>
      <c r="AB11" s="34"/>
      <c r="AC11" s="34"/>
      <c r="AD11" s="34"/>
      <c r="AE11" s="34"/>
      <c r="AF11" s="34"/>
      <c r="AG11" s="34"/>
      <c r="AH11" s="34"/>
      <c r="AI11" s="34"/>
      <c r="AJ11" s="34"/>
      <c r="AK11" s="49"/>
    </row>
    <row r="12" spans="1:40" ht="6" customHeight="1">
      <c r="A12" s="48"/>
      <c r="B12" s="28"/>
      <c r="C12" s="28"/>
      <c r="D12" s="28"/>
      <c r="E12" s="28"/>
      <c r="F12" s="28"/>
      <c r="G12" s="28"/>
      <c r="H12" s="28"/>
      <c r="I12" s="28"/>
      <c r="J12" s="28"/>
      <c r="K12" s="28"/>
      <c r="L12" s="28"/>
      <c r="M12" s="28"/>
      <c r="N12" s="28"/>
      <c r="O12" s="28"/>
      <c r="P12" s="28"/>
      <c r="Q12" s="28"/>
      <c r="R12" s="28"/>
      <c r="S12" s="28"/>
      <c r="T12" s="28"/>
      <c r="U12" s="28"/>
      <c r="V12" s="28"/>
      <c r="W12" s="28"/>
      <c r="X12" s="28"/>
      <c r="Y12" s="28"/>
      <c r="Z12" s="28"/>
      <c r="AA12" s="28"/>
      <c r="AB12" s="28"/>
      <c r="AC12" s="28"/>
      <c r="AD12" s="28"/>
      <c r="AE12" s="28"/>
      <c r="AF12" s="28"/>
      <c r="AG12" s="28"/>
      <c r="AH12" s="28"/>
      <c r="AI12" s="28"/>
      <c r="AJ12" s="28"/>
      <c r="AK12" s="49"/>
    </row>
    <row r="13" spans="1:40" ht="12" customHeight="1">
      <c r="A13" s="48"/>
      <c r="B13" s="26"/>
      <c r="C13" s="43" t="s">
        <v>24</v>
      </c>
      <c r="D13" s="26"/>
      <c r="E13" s="26"/>
      <c r="F13" s="26"/>
      <c r="G13" s="26"/>
      <c r="H13" s="26"/>
      <c r="I13" s="26"/>
      <c r="J13" s="26"/>
      <c r="K13" s="26"/>
      <c r="L13" s="26"/>
      <c r="M13" s="26"/>
      <c r="N13" s="26"/>
      <c r="O13" s="26"/>
      <c r="P13" s="26"/>
      <c r="Q13" s="26"/>
      <c r="R13" s="26"/>
      <c r="S13" s="26"/>
      <c r="T13" s="26"/>
      <c r="U13" s="26"/>
      <c r="V13" s="26"/>
      <c r="W13" s="26"/>
      <c r="X13" s="26"/>
      <c r="Y13" s="26"/>
      <c r="Z13" s="26"/>
      <c r="AA13" s="26"/>
      <c r="AB13" s="26"/>
      <c r="AC13" s="26"/>
      <c r="AD13" s="26"/>
      <c r="AE13" s="26"/>
      <c r="AF13" s="26"/>
      <c r="AG13" s="29"/>
      <c r="AH13" s="26"/>
      <c r="AI13" s="26"/>
      <c r="AJ13" s="26"/>
      <c r="AK13" s="49"/>
    </row>
    <row r="14" spans="1:40" ht="12" customHeight="1">
      <c r="A14" s="48"/>
      <c r="B14" s="26"/>
      <c r="C14" s="26"/>
      <c r="D14" s="36" t="s">
        <v>25</v>
      </c>
      <c r="E14" s="26"/>
      <c r="F14" s="26"/>
      <c r="G14" s="26"/>
      <c r="H14" s="26"/>
      <c r="I14" s="26"/>
      <c r="J14" s="26"/>
      <c r="K14" s="26"/>
      <c r="L14" s="26"/>
      <c r="M14" s="26"/>
      <c r="N14" s="26"/>
      <c r="O14" s="26"/>
      <c r="P14" s="26"/>
      <c r="Q14" s="26"/>
      <c r="R14" s="26"/>
      <c r="S14" s="26"/>
      <c r="T14" s="26"/>
      <c r="U14" s="26"/>
      <c r="V14" s="26"/>
      <c r="W14" s="26"/>
      <c r="X14" s="26"/>
      <c r="Y14" s="26"/>
      <c r="Z14" s="26"/>
      <c r="AA14" s="26"/>
      <c r="AB14" s="26"/>
      <c r="AC14" s="26"/>
      <c r="AD14" s="213" t="str">
        <f>IF(W9="","",IF(AH9&gt;=40,"X",""))</f>
        <v/>
      </c>
      <c r="AE14" s="29" t="s">
        <v>27</v>
      </c>
      <c r="AF14" s="29"/>
      <c r="AG14" s="213" t="str">
        <f>IF(W9="","",IF(AH9&lt;40,"X",""))</f>
        <v/>
      </c>
      <c r="AH14" s="29" t="s">
        <v>28</v>
      </c>
      <c r="AI14" s="26"/>
      <c r="AJ14" s="26"/>
      <c r="AK14" s="49"/>
      <c r="AN14" s="18">
        <f>IF(AG14="X",0,IF(AD14="X",1,0))</f>
        <v>0</v>
      </c>
    </row>
    <row r="15" spans="1:40" ht="3.95" customHeight="1">
      <c r="A15" s="48"/>
      <c r="B15" s="26"/>
      <c r="C15" s="26"/>
      <c r="D15" s="36"/>
      <c r="E15" s="26"/>
      <c r="F15" s="26"/>
      <c r="G15" s="26"/>
      <c r="H15" s="26"/>
      <c r="I15" s="26"/>
      <c r="J15" s="26"/>
      <c r="K15" s="26"/>
      <c r="L15" s="26"/>
      <c r="M15" s="26"/>
      <c r="N15" s="26"/>
      <c r="O15" s="26"/>
      <c r="P15" s="26"/>
      <c r="Q15" s="26"/>
      <c r="R15" s="26"/>
      <c r="S15" s="26"/>
      <c r="T15" s="26"/>
      <c r="U15" s="26"/>
      <c r="V15" s="26"/>
      <c r="W15" s="26"/>
      <c r="X15" s="26"/>
      <c r="Y15" s="26"/>
      <c r="Z15" s="26"/>
      <c r="AA15" s="26"/>
      <c r="AB15" s="26"/>
      <c r="AC15" s="26"/>
      <c r="AD15" s="32"/>
      <c r="AE15" s="29"/>
      <c r="AF15" s="29"/>
      <c r="AG15" s="32"/>
      <c r="AH15" s="29"/>
      <c r="AI15" s="26"/>
      <c r="AJ15" s="26"/>
      <c r="AK15" s="49"/>
      <c r="AN15" s="18"/>
    </row>
    <row r="16" spans="1:40" ht="12" customHeight="1">
      <c r="A16" s="48"/>
      <c r="B16" s="26"/>
      <c r="C16" s="26"/>
      <c r="D16" s="29" t="s">
        <v>29</v>
      </c>
      <c r="E16" s="26"/>
      <c r="F16" s="26"/>
      <c r="G16" s="26"/>
      <c r="H16" s="26"/>
      <c r="I16" s="26"/>
      <c r="J16" s="26"/>
      <c r="K16" s="26"/>
      <c r="L16" s="26"/>
      <c r="M16" s="26"/>
      <c r="N16" s="26"/>
      <c r="O16" s="26"/>
      <c r="P16" s="26"/>
      <c r="Q16" s="26"/>
      <c r="R16" s="26"/>
      <c r="S16" s="26"/>
      <c r="T16" s="26"/>
      <c r="U16" s="26"/>
      <c r="V16" s="26"/>
      <c r="W16" s="26"/>
      <c r="X16" s="26"/>
      <c r="Y16" s="26"/>
      <c r="Z16" s="26"/>
      <c r="AA16" s="26"/>
      <c r="AB16" s="26"/>
      <c r="AC16" s="26"/>
      <c r="AD16" s="437"/>
      <c r="AE16" s="29" t="s">
        <v>27</v>
      </c>
      <c r="AF16" s="29"/>
      <c r="AG16" s="213" t="str">
        <f>IF(W9="","",IF(AD16="X","","X"))</f>
        <v/>
      </c>
      <c r="AH16" s="29" t="s">
        <v>28</v>
      </c>
      <c r="AI16" s="26"/>
      <c r="AJ16" s="26"/>
      <c r="AK16" s="49"/>
      <c r="AN16" s="18">
        <f>IF(AG16="X",0,IF(AD16="X",1,0))</f>
        <v>0</v>
      </c>
    </row>
    <row r="17" spans="1:43" ht="3.95" customHeight="1">
      <c r="A17" s="48"/>
      <c r="B17" s="26"/>
      <c r="C17" s="26"/>
      <c r="D17" s="29"/>
      <c r="E17" s="26"/>
      <c r="F17" s="26"/>
      <c r="G17" s="26"/>
      <c r="H17" s="26"/>
      <c r="I17" s="26"/>
      <c r="J17" s="26"/>
      <c r="K17" s="26"/>
      <c r="L17" s="26"/>
      <c r="M17" s="26"/>
      <c r="N17" s="26"/>
      <c r="O17" s="26"/>
      <c r="P17" s="26"/>
      <c r="Q17" s="26"/>
      <c r="R17" s="26"/>
      <c r="S17" s="26"/>
      <c r="T17" s="26"/>
      <c r="U17" s="26"/>
      <c r="V17" s="26"/>
      <c r="W17" s="26"/>
      <c r="X17" s="26"/>
      <c r="Y17" s="26"/>
      <c r="Z17" s="26"/>
      <c r="AA17" s="26"/>
      <c r="AB17" s="26"/>
      <c r="AC17" s="26"/>
      <c r="AD17" s="26"/>
      <c r="AE17" s="29"/>
      <c r="AF17" s="26"/>
      <c r="AG17" s="26"/>
      <c r="AH17" s="29"/>
      <c r="AI17" s="26"/>
      <c r="AJ17" s="26"/>
      <c r="AK17" s="49"/>
      <c r="AN17" s="18"/>
    </row>
    <row r="18" spans="1:43" ht="12" customHeight="1">
      <c r="A18" s="48"/>
      <c r="B18" s="26"/>
      <c r="C18" s="26"/>
      <c r="D18" s="29" t="s">
        <v>30</v>
      </c>
      <c r="E18" s="26"/>
      <c r="F18" s="29"/>
      <c r="G18" s="26"/>
      <c r="H18" s="29"/>
      <c r="I18" s="26"/>
      <c r="J18" s="26"/>
      <c r="K18" s="26"/>
      <c r="L18" s="26"/>
      <c r="M18" s="26"/>
      <c r="N18" s="26"/>
      <c r="O18" s="26"/>
      <c r="P18" s="26"/>
      <c r="Q18" s="26"/>
      <c r="R18" s="26"/>
      <c r="S18" s="26"/>
      <c r="T18" s="26"/>
      <c r="U18" s="26"/>
      <c r="V18" s="26"/>
      <c r="W18" s="26"/>
      <c r="X18" s="26"/>
      <c r="Y18" s="26"/>
      <c r="Z18" s="26"/>
      <c r="AA18" s="26"/>
      <c r="AB18" s="26"/>
      <c r="AC18" s="26"/>
      <c r="AD18" s="213" t="str">
        <f>IF(W9="","",IF(AN18=1,"X",""))</f>
        <v/>
      </c>
      <c r="AE18" s="33" t="s">
        <v>31</v>
      </c>
      <c r="AF18" s="29"/>
      <c r="AG18" s="213" t="str">
        <f>IF(W9="","",IF(AN18=0,"X",""))</f>
        <v/>
      </c>
      <c r="AH18" s="33" t="s">
        <v>32</v>
      </c>
      <c r="AI18" s="26"/>
      <c r="AJ18" s="26"/>
      <c r="AK18" s="49"/>
      <c r="AN18" s="18">
        <f>IF(AN14+AN16&gt;=1,1,0)</f>
        <v>0</v>
      </c>
    </row>
    <row r="19" spans="1:43" ht="6" customHeight="1">
      <c r="A19" s="48"/>
      <c r="B19" s="34"/>
      <c r="C19" s="34"/>
      <c r="D19" s="34"/>
      <c r="E19" s="34"/>
      <c r="F19" s="34"/>
      <c r="G19" s="34"/>
      <c r="H19" s="34"/>
      <c r="I19" s="34"/>
      <c r="J19" s="34"/>
      <c r="K19" s="34"/>
      <c r="L19" s="34"/>
      <c r="M19" s="34"/>
      <c r="N19" s="34"/>
      <c r="O19" s="34"/>
      <c r="P19" s="34"/>
      <c r="Q19" s="34"/>
      <c r="R19" s="34"/>
      <c r="S19" s="34"/>
      <c r="T19" s="34"/>
      <c r="U19" s="34"/>
      <c r="V19" s="34"/>
      <c r="W19" s="34"/>
      <c r="X19" s="34"/>
      <c r="Y19" s="34"/>
      <c r="Z19" s="34"/>
      <c r="AA19" s="34"/>
      <c r="AB19" s="34"/>
      <c r="AC19" s="34"/>
      <c r="AD19" s="34"/>
      <c r="AE19" s="34"/>
      <c r="AF19" s="34"/>
      <c r="AG19" s="34"/>
      <c r="AH19" s="34"/>
      <c r="AI19" s="34"/>
      <c r="AJ19" s="34"/>
      <c r="AK19" s="49"/>
    </row>
    <row r="20" spans="1:43" ht="6" customHeight="1">
      <c r="A20" s="48"/>
      <c r="B20" s="26"/>
      <c r="C20" s="26"/>
      <c r="D20" s="26"/>
      <c r="E20" s="26"/>
      <c r="F20" s="26"/>
      <c r="G20" s="26"/>
      <c r="H20" s="26"/>
      <c r="I20" s="26"/>
      <c r="J20" s="26"/>
      <c r="K20" s="26"/>
      <c r="L20" s="26"/>
      <c r="M20" s="26"/>
      <c r="N20" s="26"/>
      <c r="O20" s="26"/>
      <c r="P20" s="26"/>
      <c r="Q20" s="26"/>
      <c r="R20" s="26"/>
      <c r="S20" s="26"/>
      <c r="T20" s="26"/>
      <c r="U20" s="26"/>
      <c r="V20" s="26"/>
      <c r="W20" s="26"/>
      <c r="X20" s="26"/>
      <c r="Y20" s="26"/>
      <c r="Z20" s="26"/>
      <c r="AA20" s="26"/>
      <c r="AB20" s="26"/>
      <c r="AC20" s="26"/>
      <c r="AD20" s="26"/>
      <c r="AE20" s="26"/>
      <c r="AF20" s="26"/>
      <c r="AG20" s="26"/>
      <c r="AH20" s="26"/>
      <c r="AI20" s="26"/>
      <c r="AJ20" s="26"/>
      <c r="AK20" s="49"/>
    </row>
    <row r="21" spans="1:43" ht="14.1" customHeight="1">
      <c r="A21" s="48"/>
      <c r="B21" s="35"/>
      <c r="C21" s="206" t="s">
        <v>35</v>
      </c>
      <c r="D21" s="26"/>
      <c r="E21" s="26"/>
      <c r="F21" s="26"/>
      <c r="G21" s="26"/>
      <c r="H21" s="26"/>
      <c r="I21" s="26"/>
      <c r="J21" s="26"/>
      <c r="K21" s="26"/>
      <c r="L21" s="26"/>
      <c r="M21" s="26"/>
      <c r="N21" s="26"/>
      <c r="O21" s="26"/>
      <c r="P21" s="26"/>
      <c r="Q21" s="26"/>
      <c r="R21" s="26"/>
      <c r="S21" s="26"/>
      <c r="T21" s="26"/>
      <c r="U21" s="26"/>
      <c r="V21" s="26"/>
      <c r="W21" s="26"/>
      <c r="X21" s="26"/>
      <c r="Y21" s="26"/>
      <c r="Z21" s="26"/>
      <c r="AA21" s="26"/>
      <c r="AB21" s="31"/>
      <c r="AC21" s="26"/>
      <c r="AD21" s="25"/>
      <c r="AE21" s="26"/>
      <c r="AF21" s="26"/>
      <c r="AG21" s="25"/>
      <c r="AH21" s="29"/>
      <c r="AI21" s="26"/>
      <c r="AJ21" s="26"/>
      <c r="AK21" s="49"/>
    </row>
    <row r="22" spans="1:43" ht="6" customHeight="1">
      <c r="A22" s="48"/>
      <c r="B22" s="35"/>
      <c r="C22" s="37"/>
      <c r="D22" s="26"/>
      <c r="E22" s="26"/>
      <c r="F22" s="26"/>
      <c r="G22" s="26"/>
      <c r="H22" s="26"/>
      <c r="I22" s="26"/>
      <c r="J22" s="26"/>
      <c r="K22" s="26"/>
      <c r="L22" s="26"/>
      <c r="M22" s="26"/>
      <c r="N22" s="26"/>
      <c r="O22" s="26"/>
      <c r="P22" s="26"/>
      <c r="Q22" s="26"/>
      <c r="R22" s="26"/>
      <c r="S22" s="26"/>
      <c r="T22" s="26"/>
      <c r="U22" s="26"/>
      <c r="V22" s="26"/>
      <c r="W22" s="26"/>
      <c r="X22" s="26"/>
      <c r="Y22" s="26"/>
      <c r="Z22" s="26"/>
      <c r="AA22" s="26"/>
      <c r="AB22" s="31"/>
      <c r="AC22" s="26"/>
      <c r="AD22" s="25"/>
      <c r="AE22" s="26"/>
      <c r="AF22" s="26"/>
      <c r="AG22" s="25"/>
      <c r="AH22" s="29"/>
      <c r="AI22" s="26"/>
      <c r="AJ22" s="26"/>
      <c r="AK22" s="49"/>
    </row>
    <row r="23" spans="1:43" ht="12" customHeight="1">
      <c r="A23" s="48"/>
      <c r="B23" s="35"/>
      <c r="C23" s="35"/>
      <c r="D23" s="38" t="s">
        <v>36</v>
      </c>
      <c r="E23" s="26"/>
      <c r="F23" s="26"/>
      <c r="G23" s="26"/>
      <c r="H23" s="26"/>
      <c r="I23" s="26"/>
      <c r="J23" s="26"/>
      <c r="K23" s="26"/>
      <c r="L23" s="26"/>
      <c r="M23" s="26"/>
      <c r="N23" s="26"/>
      <c r="O23" s="26"/>
      <c r="P23" s="26"/>
      <c r="Q23" s="26"/>
      <c r="R23" s="26"/>
      <c r="S23" s="26"/>
      <c r="T23" s="26"/>
      <c r="U23" s="26"/>
      <c r="V23" s="26"/>
      <c r="W23" s="26"/>
      <c r="X23" s="26"/>
      <c r="Y23" s="26"/>
      <c r="Z23" s="26"/>
      <c r="AA23" s="26"/>
      <c r="AB23" s="31" t="s">
        <v>37</v>
      </c>
      <c r="AC23" s="26"/>
      <c r="AD23" s="213" t="str">
        <f>IF(W9="","","X")</f>
        <v/>
      </c>
      <c r="AE23" s="29" t="s">
        <v>27</v>
      </c>
      <c r="AF23" s="29"/>
      <c r="AG23" s="213" t="str">
        <f>IF(W9="","","X")</f>
        <v/>
      </c>
      <c r="AH23" s="29" t="s">
        <v>28</v>
      </c>
      <c r="AI23" s="26"/>
      <c r="AJ23" s="26"/>
      <c r="AK23" s="49"/>
      <c r="AN23" s="18">
        <f>IF(AN34=1,1,IF(AN36=1,1,0))</f>
        <v>0</v>
      </c>
      <c r="AO23" s="18"/>
    </row>
    <row r="24" spans="1:43" ht="12.95" customHeight="1">
      <c r="A24" s="48"/>
      <c r="B24" s="26"/>
      <c r="C24" s="26"/>
      <c r="D24" s="516" t="s">
        <v>51</v>
      </c>
      <c r="E24" s="516"/>
      <c r="F24" s="516"/>
      <c r="G24" s="516"/>
      <c r="H24" s="516"/>
      <c r="I24" s="516"/>
      <c r="J24" s="516"/>
      <c r="K24" s="516"/>
      <c r="L24" s="516"/>
      <c r="M24" s="516"/>
      <c r="N24" s="516"/>
      <c r="O24" s="516"/>
      <c r="P24" s="516"/>
      <c r="Q24" s="516"/>
      <c r="R24" s="516"/>
      <c r="S24" s="516"/>
      <c r="T24" s="516"/>
      <c r="U24" s="516"/>
      <c r="V24" s="516"/>
      <c r="W24" s="516"/>
      <c r="X24" s="516"/>
      <c r="Y24" s="516"/>
      <c r="Z24" s="26"/>
      <c r="AA24" s="26"/>
      <c r="AB24" s="26"/>
      <c r="AC24" s="26"/>
      <c r="AD24" s="26"/>
      <c r="AE24" s="31"/>
      <c r="AF24" s="26"/>
      <c r="AG24" s="26"/>
      <c r="AH24" s="26"/>
      <c r="AI24" s="26"/>
      <c r="AJ24" s="26"/>
      <c r="AK24" s="49"/>
      <c r="AN24" s="18"/>
      <c r="AO24" s="18"/>
    </row>
    <row r="25" spans="1:43" ht="12.95" customHeight="1">
      <c r="A25" s="48"/>
      <c r="B25" s="26"/>
      <c r="C25" s="26"/>
      <c r="D25" s="516"/>
      <c r="E25" s="516"/>
      <c r="F25" s="516"/>
      <c r="G25" s="516"/>
      <c r="H25" s="516"/>
      <c r="I25" s="516"/>
      <c r="J25" s="516"/>
      <c r="K25" s="516"/>
      <c r="L25" s="516"/>
      <c r="M25" s="516"/>
      <c r="N25" s="516"/>
      <c r="O25" s="516"/>
      <c r="P25" s="516"/>
      <c r="Q25" s="516"/>
      <c r="R25" s="516"/>
      <c r="S25" s="516"/>
      <c r="T25" s="516"/>
      <c r="U25" s="516"/>
      <c r="V25" s="516"/>
      <c r="W25" s="516"/>
      <c r="X25" s="516"/>
      <c r="Y25" s="516"/>
      <c r="Z25" s="26"/>
      <c r="AA25" s="26"/>
      <c r="AB25" s="26"/>
      <c r="AC25" s="26"/>
      <c r="AD25" s="26"/>
      <c r="AE25" s="31"/>
      <c r="AF25" s="26"/>
      <c r="AG25" s="26"/>
      <c r="AH25" s="26"/>
      <c r="AI25" s="26"/>
      <c r="AJ25" s="26"/>
      <c r="AK25" s="49"/>
      <c r="AN25" s="18"/>
      <c r="AO25" s="18"/>
      <c r="AQ25" s="39"/>
    </row>
    <row r="26" spans="1:43" ht="6" customHeight="1">
      <c r="A26" s="48"/>
      <c r="B26" s="26"/>
      <c r="C26" s="26"/>
      <c r="D26" s="40"/>
      <c r="E26" s="26"/>
      <c r="F26" s="26"/>
      <c r="G26" s="26"/>
      <c r="H26" s="26"/>
      <c r="I26" s="26"/>
      <c r="J26" s="26"/>
      <c r="K26" s="26"/>
      <c r="L26" s="26"/>
      <c r="M26" s="26"/>
      <c r="N26" s="26"/>
      <c r="O26" s="26"/>
      <c r="P26" s="26"/>
      <c r="Q26" s="26"/>
      <c r="R26" s="26"/>
      <c r="S26" s="26"/>
      <c r="T26" s="26"/>
      <c r="U26" s="26"/>
      <c r="V26" s="26"/>
      <c r="W26" s="26"/>
      <c r="X26" s="26"/>
      <c r="Y26" s="26"/>
      <c r="Z26" s="26"/>
      <c r="AA26" s="26"/>
      <c r="AB26" s="26"/>
      <c r="AC26" s="26"/>
      <c r="AD26" s="26"/>
      <c r="AE26" s="26"/>
      <c r="AF26" s="26"/>
      <c r="AG26" s="26"/>
      <c r="AH26" s="26"/>
      <c r="AI26" s="26"/>
      <c r="AJ26" s="26"/>
      <c r="AK26" s="49"/>
      <c r="AN26" s="18"/>
      <c r="AO26" s="18"/>
    </row>
    <row r="27" spans="1:43" ht="12" customHeight="1">
      <c r="A27" s="48"/>
      <c r="B27" s="26"/>
      <c r="C27" s="26"/>
      <c r="D27" s="41" t="s">
        <v>38</v>
      </c>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13" t="str">
        <f>IF(W9="","","X")</f>
        <v/>
      </c>
      <c r="AE27" s="29" t="s">
        <v>27</v>
      </c>
      <c r="AF27" s="29"/>
      <c r="AG27" s="213" t="str">
        <f>IF(W9="","","X")</f>
        <v/>
      </c>
      <c r="AH27" s="29" t="s">
        <v>28</v>
      </c>
      <c r="AI27" s="26"/>
      <c r="AJ27" s="26"/>
      <c r="AK27" s="49"/>
      <c r="AN27" s="18">
        <f>IF(D29&lt;&gt;"",1,0)</f>
        <v>0</v>
      </c>
      <c r="AO27" s="18"/>
    </row>
    <row r="28" spans="1:43" ht="12" customHeight="1">
      <c r="A28" s="48"/>
      <c r="B28" s="26"/>
      <c r="C28" s="515" t="s">
        <v>301</v>
      </c>
      <c r="D28" s="515"/>
      <c r="E28" s="515"/>
      <c r="F28" s="515"/>
      <c r="G28" s="515"/>
      <c r="H28" s="515"/>
      <c r="I28" s="515"/>
      <c r="J28" s="515"/>
      <c r="K28" s="515"/>
      <c r="L28" s="515"/>
      <c r="M28" s="515"/>
      <c r="N28" s="515"/>
      <c r="O28" s="515"/>
      <c r="P28" s="515"/>
      <c r="Q28" s="515"/>
      <c r="R28" s="515"/>
      <c r="S28" s="515"/>
      <c r="T28" s="515"/>
      <c r="U28" s="515"/>
      <c r="V28" s="515"/>
      <c r="W28" s="515"/>
      <c r="X28" s="515"/>
      <c r="Y28" s="515"/>
      <c r="Z28" s="515"/>
      <c r="AA28" s="515"/>
      <c r="AB28" s="515"/>
      <c r="AC28" s="515"/>
      <c r="AD28" s="515"/>
      <c r="AE28" s="26"/>
      <c r="AF28" s="26"/>
      <c r="AG28" s="26"/>
      <c r="AH28" s="26"/>
      <c r="AI28" s="26"/>
      <c r="AJ28" s="26"/>
      <c r="AK28" s="49"/>
      <c r="AN28" s="18"/>
      <c r="AO28" s="18"/>
    </row>
    <row r="29" spans="1:43" ht="12.95" customHeight="1">
      <c r="A29" s="48"/>
      <c r="B29" s="26"/>
      <c r="C29" s="26"/>
      <c r="D29" s="506"/>
      <c r="E29" s="507"/>
      <c r="F29" s="507"/>
      <c r="G29" s="507"/>
      <c r="H29" s="507"/>
      <c r="I29" s="507"/>
      <c r="J29" s="507"/>
      <c r="K29" s="507"/>
      <c r="L29" s="507"/>
      <c r="M29" s="507"/>
      <c r="N29" s="507"/>
      <c r="O29" s="507"/>
      <c r="P29" s="507"/>
      <c r="Q29" s="507"/>
      <c r="R29" s="507"/>
      <c r="S29" s="507"/>
      <c r="T29" s="507"/>
      <c r="U29" s="507"/>
      <c r="V29" s="507"/>
      <c r="W29" s="507"/>
      <c r="X29" s="507"/>
      <c r="Y29" s="507"/>
      <c r="Z29" s="507"/>
      <c r="AA29" s="507"/>
      <c r="AB29" s="507"/>
      <c r="AC29" s="508"/>
      <c r="AD29" s="26"/>
      <c r="AE29" s="26"/>
      <c r="AF29" s="26"/>
      <c r="AG29" s="26"/>
      <c r="AH29" s="26"/>
      <c r="AI29" s="26"/>
      <c r="AJ29" s="26"/>
      <c r="AK29" s="49"/>
      <c r="AN29" s="18"/>
      <c r="AO29" s="18"/>
    </row>
    <row r="30" spans="1:43" ht="12.95" customHeight="1">
      <c r="A30" s="48"/>
      <c r="B30" s="26"/>
      <c r="C30" s="26"/>
      <c r="D30" s="509"/>
      <c r="E30" s="510"/>
      <c r="F30" s="510"/>
      <c r="G30" s="510"/>
      <c r="H30" s="510"/>
      <c r="I30" s="510"/>
      <c r="J30" s="510"/>
      <c r="K30" s="510"/>
      <c r="L30" s="510"/>
      <c r="M30" s="510"/>
      <c r="N30" s="510"/>
      <c r="O30" s="510"/>
      <c r="P30" s="510"/>
      <c r="Q30" s="510"/>
      <c r="R30" s="510"/>
      <c r="S30" s="510"/>
      <c r="T30" s="510"/>
      <c r="U30" s="510"/>
      <c r="V30" s="510"/>
      <c r="W30" s="510"/>
      <c r="X30" s="510"/>
      <c r="Y30" s="510"/>
      <c r="Z30" s="510"/>
      <c r="AA30" s="510"/>
      <c r="AB30" s="510"/>
      <c r="AC30" s="511"/>
      <c r="AD30" s="26"/>
      <c r="AE30" s="26"/>
      <c r="AF30" s="26"/>
      <c r="AG30" s="26"/>
      <c r="AH30" s="26"/>
      <c r="AI30" s="26"/>
      <c r="AJ30" s="26"/>
      <c r="AK30" s="49"/>
      <c r="AN30" s="18"/>
      <c r="AO30" s="18"/>
    </row>
    <row r="31" spans="1:43" ht="12.95" customHeight="1">
      <c r="A31" s="48"/>
      <c r="B31" s="26"/>
      <c r="C31" s="26"/>
      <c r="D31" s="512"/>
      <c r="E31" s="513"/>
      <c r="F31" s="513"/>
      <c r="G31" s="513"/>
      <c r="H31" s="513"/>
      <c r="I31" s="513"/>
      <c r="J31" s="513"/>
      <c r="K31" s="513"/>
      <c r="L31" s="513"/>
      <c r="M31" s="513"/>
      <c r="N31" s="513"/>
      <c r="O31" s="513"/>
      <c r="P31" s="513"/>
      <c r="Q31" s="513"/>
      <c r="R31" s="513"/>
      <c r="S31" s="513"/>
      <c r="T31" s="513"/>
      <c r="U31" s="513"/>
      <c r="V31" s="513"/>
      <c r="W31" s="513"/>
      <c r="X31" s="513"/>
      <c r="Y31" s="513"/>
      <c r="Z31" s="513"/>
      <c r="AA31" s="513"/>
      <c r="AB31" s="513"/>
      <c r="AC31" s="514"/>
      <c r="AD31" s="26"/>
      <c r="AE31" s="26"/>
      <c r="AF31" s="26"/>
      <c r="AG31" s="26"/>
      <c r="AH31" s="26"/>
      <c r="AI31" s="26"/>
      <c r="AJ31" s="26"/>
      <c r="AK31" s="49"/>
      <c r="AN31" s="18"/>
      <c r="AO31" s="18"/>
    </row>
    <row r="32" spans="1:43" ht="9" customHeight="1">
      <c r="A32" s="48"/>
      <c r="B32" s="26"/>
      <c r="C32" s="26"/>
      <c r="D32" s="40"/>
      <c r="E32" s="26"/>
      <c r="F32" s="26"/>
      <c r="G32" s="26"/>
      <c r="H32" s="26"/>
      <c r="I32" s="26"/>
      <c r="J32" s="26"/>
      <c r="K32" s="26"/>
      <c r="L32" s="26"/>
      <c r="M32" s="26"/>
      <c r="N32" s="26"/>
      <c r="O32" s="26"/>
      <c r="P32" s="26"/>
      <c r="Q32" s="26"/>
      <c r="R32" s="26"/>
      <c r="S32" s="26"/>
      <c r="T32" s="26"/>
      <c r="U32" s="26"/>
      <c r="V32" s="26"/>
      <c r="W32" s="26"/>
      <c r="X32" s="26"/>
      <c r="Y32" s="26"/>
      <c r="Z32" s="26"/>
      <c r="AA32" s="26"/>
      <c r="AB32" s="26"/>
      <c r="AC32" s="26"/>
      <c r="AD32" s="26"/>
      <c r="AE32" s="26"/>
      <c r="AF32" s="26"/>
      <c r="AG32" s="26"/>
      <c r="AH32" s="26"/>
      <c r="AI32" s="26"/>
      <c r="AJ32" s="26"/>
      <c r="AK32" s="49"/>
      <c r="AN32" s="18"/>
      <c r="AO32" s="18"/>
    </row>
    <row r="33" spans="1:72" ht="15.95" customHeight="1">
      <c r="A33" s="48"/>
      <c r="B33" s="26"/>
      <c r="C33" s="26"/>
      <c r="D33" s="496" t="s">
        <v>153</v>
      </c>
      <c r="E33" s="496"/>
      <c r="F33" s="496"/>
      <c r="G33" s="496"/>
      <c r="H33" s="496"/>
      <c r="I33" s="496"/>
      <c r="J33" s="496"/>
      <c r="K33" s="496"/>
      <c r="L33" s="496"/>
      <c r="M33" s="496"/>
      <c r="N33" s="496"/>
      <c r="O33" s="496"/>
      <c r="P33" s="496"/>
      <c r="Q33" s="496"/>
      <c r="R33" s="496"/>
      <c r="S33" s="496"/>
      <c r="T33" s="496"/>
      <c r="U33" s="496"/>
      <c r="V33" s="496"/>
      <c r="W33" s="496"/>
      <c r="X33" s="496"/>
      <c r="Y33" s="496"/>
      <c r="Z33" s="496"/>
      <c r="AA33" s="496"/>
      <c r="AB33" s="496"/>
      <c r="AC33" s="496"/>
      <c r="AD33" s="496"/>
      <c r="AE33" s="496"/>
      <c r="AF33" s="496"/>
      <c r="AG33" s="496"/>
      <c r="AH33" s="496"/>
      <c r="AI33" s="26"/>
      <c r="AJ33" s="26"/>
      <c r="AK33" s="49"/>
      <c r="AN33" s="18"/>
      <c r="AO33" s="18"/>
    </row>
    <row r="34" spans="1:72" ht="12" customHeight="1">
      <c r="A34" s="48"/>
      <c r="B34" s="26"/>
      <c r="C34" s="26"/>
      <c r="D34" s="40"/>
      <c r="E34" s="26"/>
      <c r="F34" s="26"/>
      <c r="G34" s="26"/>
      <c r="H34" s="26"/>
      <c r="I34" s="26"/>
      <c r="J34" s="26"/>
      <c r="K34" s="26"/>
      <c r="L34" s="26"/>
      <c r="M34" s="26"/>
      <c r="N34" s="26"/>
      <c r="O34" s="26"/>
      <c r="P34" s="26"/>
      <c r="Q34" s="26"/>
      <c r="R34" s="42"/>
      <c r="S34" s="42"/>
      <c r="T34" s="42"/>
      <c r="U34" s="42"/>
      <c r="V34" s="42"/>
      <c r="W34" s="26"/>
      <c r="X34" s="605" t="s">
        <v>39</v>
      </c>
      <c r="Y34" s="605"/>
      <c r="Z34" s="605"/>
      <c r="AA34" s="605"/>
      <c r="AB34" s="605"/>
      <c r="AC34" s="26"/>
      <c r="AD34" s="213" t="str">
        <f>IF(W9="","","X")</f>
        <v/>
      </c>
      <c r="AE34" s="29" t="s">
        <v>27</v>
      </c>
      <c r="AF34" s="29"/>
      <c r="AG34" s="213" t="str">
        <f>IF(W9="","","X")</f>
        <v/>
      </c>
      <c r="AH34" s="29" t="s">
        <v>28</v>
      </c>
      <c r="AI34" s="26"/>
      <c r="AJ34" s="26"/>
      <c r="AK34" s="49"/>
      <c r="AN34" s="18">
        <f>IF(AS43&gt;=1,1,IF(AS50&gt;=1,1,0))</f>
        <v>0</v>
      </c>
      <c r="AO34" s="18"/>
    </row>
    <row r="35" spans="1:72" ht="6" customHeight="1">
      <c r="A35" s="48"/>
      <c r="B35" s="26"/>
      <c r="C35" s="26"/>
      <c r="D35" s="26"/>
      <c r="E35" s="26"/>
      <c r="F35" s="26"/>
      <c r="G35" s="26"/>
      <c r="H35" s="26"/>
      <c r="I35" s="26"/>
      <c r="J35" s="26"/>
      <c r="K35" s="26"/>
      <c r="L35" s="26"/>
      <c r="M35" s="26"/>
      <c r="N35" s="26"/>
      <c r="O35" s="26"/>
      <c r="P35" s="26"/>
      <c r="Q35" s="26"/>
      <c r="R35" s="26"/>
      <c r="S35" s="26"/>
      <c r="T35" s="26"/>
      <c r="U35" s="26"/>
      <c r="V35" s="26"/>
      <c r="W35" s="26"/>
      <c r="X35" s="26"/>
      <c r="Y35" s="26"/>
      <c r="Z35" s="26"/>
      <c r="AA35" s="26"/>
      <c r="AB35" s="26"/>
      <c r="AC35" s="26"/>
      <c r="AD35" s="25"/>
      <c r="AE35" s="29"/>
      <c r="AF35" s="26"/>
      <c r="AG35" s="25"/>
      <c r="AH35" s="29"/>
      <c r="AI35" s="26"/>
      <c r="AJ35" s="26"/>
      <c r="AK35" s="49"/>
      <c r="AN35" s="18"/>
      <c r="AO35" s="18"/>
    </row>
    <row r="36" spans="1:72" ht="12" customHeight="1">
      <c r="A36" s="48"/>
      <c r="B36" s="26"/>
      <c r="C36" s="26"/>
      <c r="D36" s="41"/>
      <c r="E36" s="26"/>
      <c r="F36" s="26"/>
      <c r="G36" s="26"/>
      <c r="H36" s="26"/>
      <c r="I36" s="26"/>
      <c r="J36" s="26"/>
      <c r="K36" s="610" t="s">
        <v>40</v>
      </c>
      <c r="L36" s="610"/>
      <c r="M36" s="610"/>
      <c r="N36" s="610"/>
      <c r="O36" s="610"/>
      <c r="P36" s="610"/>
      <c r="Q36" s="610"/>
      <c r="R36" s="610"/>
      <c r="S36" s="610"/>
      <c r="T36" s="610"/>
      <c r="U36" s="610"/>
      <c r="V36" s="610"/>
      <c r="W36" s="610"/>
      <c r="X36" s="610"/>
      <c r="Y36" s="610"/>
      <c r="Z36" s="610"/>
      <c r="AA36" s="610"/>
      <c r="AB36" s="610"/>
      <c r="AC36" s="26"/>
      <c r="AD36" s="213" t="str">
        <f>IF(W9="","","X")</f>
        <v/>
      </c>
      <c r="AE36" s="29" t="s">
        <v>27</v>
      </c>
      <c r="AF36" s="29"/>
      <c r="AG36" s="213" t="str">
        <f>IF(W9="","","X")</f>
        <v/>
      </c>
      <c r="AH36" s="29" t="s">
        <v>28</v>
      </c>
      <c r="AI36" s="26"/>
      <c r="AJ36" s="26"/>
      <c r="AK36" s="49"/>
      <c r="AN36" s="18">
        <f>IF(AN34=1,2,IF(AN27=0,0,IF(AS57*AS64&gt;=1,1,0)))</f>
        <v>0</v>
      </c>
      <c r="AO36" s="18"/>
    </row>
    <row r="37" spans="1:72" ht="9" customHeight="1" thickBot="1">
      <c r="A37" s="48"/>
      <c r="B37" s="26"/>
      <c r="C37" s="26"/>
      <c r="D37" s="26"/>
      <c r="E37" s="26"/>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6"/>
      <c r="AI37" s="26"/>
      <c r="AJ37" s="26"/>
      <c r="AK37" s="49"/>
      <c r="AN37" s="18"/>
      <c r="AO37" s="18"/>
    </row>
    <row r="38" spans="1:72" ht="12" customHeight="1" thickTop="1">
      <c r="A38" s="48"/>
      <c r="B38" s="26"/>
      <c r="C38" s="26"/>
      <c r="D38" s="45"/>
      <c r="E38" s="517"/>
      <c r="F38" s="518"/>
      <c r="G38" s="518"/>
      <c r="H38" s="518"/>
      <c r="I38" s="518"/>
      <c r="J38" s="518"/>
      <c r="K38" s="518"/>
      <c r="L38" s="519"/>
      <c r="M38" s="518"/>
      <c r="N38" s="518"/>
      <c r="O38" s="518"/>
      <c r="P38" s="518"/>
      <c r="Q38" s="518"/>
      <c r="R38" s="518"/>
      <c r="S38" s="520"/>
      <c r="T38" s="521" t="s">
        <v>41</v>
      </c>
      <c r="U38" s="521"/>
      <c r="V38" s="521"/>
      <c r="W38" s="521"/>
      <c r="X38" s="521"/>
      <c r="Y38" s="521"/>
      <c r="Z38" s="521"/>
      <c r="AA38" s="521"/>
      <c r="AB38" s="521"/>
      <c r="AC38" s="521"/>
      <c r="AD38" s="521"/>
      <c r="AE38" s="521"/>
      <c r="AF38" s="521"/>
      <c r="AG38" s="521"/>
      <c r="AH38" s="521"/>
      <c r="AI38" s="522"/>
      <c r="AJ38" s="26"/>
      <c r="AK38" s="49"/>
      <c r="AN38" s="18"/>
      <c r="AO38" s="18"/>
      <c r="AP38" s="27"/>
      <c r="AQ38" s="27"/>
      <c r="AR38" s="27"/>
      <c r="AS38" s="27"/>
      <c r="AT38" s="27"/>
      <c r="AU38" s="27"/>
      <c r="AV38" s="27"/>
      <c r="AW38" s="27"/>
      <c r="AX38" s="27"/>
      <c r="AY38" s="27"/>
      <c r="AZ38" s="27"/>
      <c r="BA38" s="27"/>
      <c r="BB38" s="27"/>
      <c r="BC38" s="27"/>
      <c r="BD38" s="27"/>
      <c r="BE38" s="27"/>
      <c r="BF38" s="27"/>
      <c r="BG38" s="27"/>
      <c r="BH38" s="27"/>
      <c r="BI38" s="27"/>
      <c r="BJ38" s="27"/>
      <c r="BK38" s="27"/>
      <c r="BL38" s="27"/>
      <c r="BM38" s="27"/>
      <c r="BN38" s="27"/>
      <c r="BO38" s="27"/>
      <c r="BP38" s="27"/>
      <c r="BQ38" s="27"/>
      <c r="BR38" s="27"/>
      <c r="BS38" s="27"/>
      <c r="BT38" s="27"/>
    </row>
    <row r="39" spans="1:72" ht="12" customHeight="1">
      <c r="A39" s="48"/>
      <c r="B39" s="26"/>
      <c r="C39" s="26"/>
      <c r="D39" s="45"/>
      <c r="E39" s="523" t="s">
        <v>43</v>
      </c>
      <c r="F39" s="524"/>
      <c r="G39" s="524"/>
      <c r="H39" s="524"/>
      <c r="I39" s="524"/>
      <c r="J39" s="524"/>
      <c r="K39" s="524"/>
      <c r="L39" s="525" t="s">
        <v>42</v>
      </c>
      <c r="M39" s="524"/>
      <c r="N39" s="524"/>
      <c r="O39" s="524"/>
      <c r="P39" s="524"/>
      <c r="Q39" s="524"/>
      <c r="R39" s="524"/>
      <c r="S39" s="526"/>
      <c r="T39" s="527"/>
      <c r="U39" s="528"/>
      <c r="V39" s="532"/>
      <c r="W39" s="528"/>
      <c r="X39" s="532"/>
      <c r="Y39" s="528"/>
      <c r="Z39" s="532"/>
      <c r="AA39" s="528"/>
      <c r="AB39" s="532"/>
      <c r="AC39" s="528"/>
      <c r="AD39" s="532"/>
      <c r="AE39" s="528"/>
      <c r="AF39" s="532"/>
      <c r="AG39" s="528"/>
      <c r="AH39" s="532"/>
      <c r="AI39" s="535"/>
      <c r="AJ39" s="26"/>
      <c r="AK39" s="49"/>
      <c r="AN39" s="18"/>
      <c r="AO39" s="18"/>
      <c r="AP39" s="27"/>
      <c r="AQ39" s="27"/>
      <c r="AR39" s="27"/>
      <c r="AS39" s="27"/>
      <c r="AT39" s="27"/>
      <c r="AU39" s="27"/>
      <c r="AV39" s="27"/>
      <c r="AW39" s="27"/>
      <c r="AX39" s="27"/>
      <c r="AY39" s="27"/>
      <c r="AZ39" s="27"/>
      <c r="BA39" s="27"/>
      <c r="BB39" s="27"/>
      <c r="BC39" s="27"/>
      <c r="BD39" s="27"/>
      <c r="BE39" s="53"/>
      <c r="BF39" s="53"/>
      <c r="BG39" s="53"/>
      <c r="BH39" s="53"/>
      <c r="BI39" s="53"/>
      <c r="BJ39" s="53"/>
      <c r="BK39" s="53"/>
      <c r="BL39" s="53"/>
      <c r="BM39" s="53"/>
      <c r="BN39" s="53"/>
      <c r="BO39" s="53"/>
      <c r="BP39" s="53"/>
      <c r="BQ39" s="53"/>
      <c r="BR39" s="53"/>
      <c r="BS39" s="53"/>
      <c r="BT39" s="53"/>
    </row>
    <row r="40" spans="1:72" ht="12" customHeight="1">
      <c r="A40" s="48"/>
      <c r="B40" s="26"/>
      <c r="C40" s="26"/>
      <c r="D40" s="45"/>
      <c r="E40" s="537" t="s">
        <v>44</v>
      </c>
      <c r="F40" s="538"/>
      <c r="G40" s="538"/>
      <c r="H40" s="538"/>
      <c r="I40" s="538"/>
      <c r="J40" s="538"/>
      <c r="K40" s="539"/>
      <c r="L40" s="540">
        <v>1</v>
      </c>
      <c r="M40" s="541"/>
      <c r="N40" s="541"/>
      <c r="O40" s="542"/>
      <c r="P40" s="543" t="s">
        <v>45</v>
      </c>
      <c r="Q40" s="544"/>
      <c r="R40" s="544"/>
      <c r="S40" s="545"/>
      <c r="T40" s="529"/>
      <c r="U40" s="528"/>
      <c r="V40" s="533"/>
      <c r="W40" s="528"/>
      <c r="X40" s="533"/>
      <c r="Y40" s="528"/>
      <c r="Z40" s="533"/>
      <c r="AA40" s="528"/>
      <c r="AB40" s="533"/>
      <c r="AC40" s="528"/>
      <c r="AD40" s="533"/>
      <c r="AE40" s="528"/>
      <c r="AF40" s="533"/>
      <c r="AG40" s="528"/>
      <c r="AH40" s="533"/>
      <c r="AI40" s="535"/>
      <c r="AJ40" s="26"/>
      <c r="AK40" s="49"/>
      <c r="AN40" s="18"/>
      <c r="AO40" s="18"/>
      <c r="AP40" s="27"/>
      <c r="AQ40" s="27"/>
      <c r="AR40" s="27"/>
      <c r="AS40" s="27"/>
      <c r="AT40" s="27"/>
      <c r="AU40" s="27"/>
      <c r="AV40" s="27"/>
      <c r="AW40" s="54"/>
      <c r="AX40" s="54"/>
      <c r="AY40" s="54"/>
      <c r="AZ40" s="54"/>
      <c r="BA40" s="27"/>
      <c r="BB40" s="27"/>
      <c r="BC40" s="27"/>
      <c r="BD40" s="27"/>
      <c r="BE40" s="53"/>
      <c r="BF40" s="53"/>
      <c r="BG40" s="53"/>
      <c r="BH40" s="53"/>
      <c r="BI40" s="53"/>
      <c r="BJ40" s="53"/>
      <c r="BK40" s="53"/>
      <c r="BL40" s="53"/>
      <c r="BM40" s="53"/>
      <c r="BN40" s="53"/>
      <c r="BO40" s="53"/>
      <c r="BP40" s="53"/>
      <c r="BQ40" s="53"/>
      <c r="BR40" s="53"/>
      <c r="BS40" s="53"/>
      <c r="BT40" s="53"/>
    </row>
    <row r="41" spans="1:72" ht="12" customHeight="1" thickBot="1">
      <c r="A41" s="48"/>
      <c r="B41" s="26"/>
      <c r="C41" s="26"/>
      <c r="D41" s="45"/>
      <c r="E41" s="546" t="s">
        <v>46</v>
      </c>
      <c r="F41" s="547"/>
      <c r="G41" s="547"/>
      <c r="H41" s="547"/>
      <c r="I41" s="547"/>
      <c r="J41" s="547"/>
      <c r="K41" s="548"/>
      <c r="L41" s="549">
        <v>1</v>
      </c>
      <c r="M41" s="549"/>
      <c r="N41" s="549">
        <v>0.7</v>
      </c>
      <c r="O41" s="549"/>
      <c r="P41" s="549">
        <v>1</v>
      </c>
      <c r="Q41" s="549"/>
      <c r="R41" s="549">
        <v>0.7</v>
      </c>
      <c r="S41" s="550"/>
      <c r="T41" s="530"/>
      <c r="U41" s="531"/>
      <c r="V41" s="534"/>
      <c r="W41" s="531"/>
      <c r="X41" s="534"/>
      <c r="Y41" s="531"/>
      <c r="Z41" s="534"/>
      <c r="AA41" s="531"/>
      <c r="AB41" s="534"/>
      <c r="AC41" s="531"/>
      <c r="AD41" s="534"/>
      <c r="AE41" s="531"/>
      <c r="AF41" s="534"/>
      <c r="AG41" s="531"/>
      <c r="AH41" s="534"/>
      <c r="AI41" s="536"/>
      <c r="AJ41" s="26"/>
      <c r="AK41" s="49"/>
      <c r="AN41" s="18"/>
      <c r="AO41" s="18"/>
      <c r="AP41" s="27"/>
      <c r="AQ41" s="27"/>
      <c r="AR41" s="27"/>
      <c r="AS41" s="27"/>
      <c r="AT41" s="27"/>
      <c r="AU41" s="27"/>
      <c r="AV41" s="27"/>
      <c r="AW41" s="55"/>
      <c r="AX41" s="55"/>
      <c r="AY41" s="55"/>
      <c r="AZ41" s="55"/>
      <c r="BA41" s="55"/>
      <c r="BB41" s="55"/>
      <c r="BC41" s="55"/>
      <c r="BD41" s="55"/>
      <c r="BE41" s="53"/>
      <c r="BF41" s="53"/>
      <c r="BG41" s="53"/>
      <c r="BH41" s="53"/>
      <c r="BI41" s="53"/>
      <c r="BJ41" s="53"/>
      <c r="BK41" s="53"/>
      <c r="BL41" s="53"/>
      <c r="BM41" s="53"/>
      <c r="BN41" s="53"/>
      <c r="BO41" s="53"/>
      <c r="BP41" s="53"/>
      <c r="BQ41" s="53"/>
      <c r="BR41" s="53"/>
      <c r="BS41" s="53"/>
      <c r="BT41" s="53"/>
    </row>
    <row r="42" spans="1:72" ht="12" customHeight="1" thickTop="1">
      <c r="A42" s="48"/>
      <c r="B42" s="26"/>
      <c r="C42" s="563" t="s">
        <v>52</v>
      </c>
      <c r="D42" s="564"/>
      <c r="E42" s="497" t="s">
        <v>47</v>
      </c>
      <c r="F42" s="498"/>
      <c r="G42" s="498"/>
      <c r="H42" s="498"/>
      <c r="I42" s="498"/>
      <c r="J42" s="498"/>
      <c r="K42" s="498"/>
      <c r="L42" s="569">
        <v>500</v>
      </c>
      <c r="M42" s="570"/>
      <c r="N42" s="569">
        <v>350</v>
      </c>
      <c r="O42" s="570"/>
      <c r="P42" s="569">
        <v>600</v>
      </c>
      <c r="Q42" s="570"/>
      <c r="R42" s="573">
        <v>420</v>
      </c>
      <c r="S42" s="574"/>
      <c r="T42" s="499"/>
      <c r="U42" s="500"/>
      <c r="V42" s="503"/>
      <c r="W42" s="500"/>
      <c r="X42" s="503"/>
      <c r="Y42" s="500"/>
      <c r="Z42" s="503"/>
      <c r="AA42" s="500"/>
      <c r="AB42" s="503"/>
      <c r="AC42" s="500"/>
      <c r="AD42" s="503"/>
      <c r="AE42" s="500"/>
      <c r="AF42" s="503"/>
      <c r="AG42" s="500"/>
      <c r="AH42" s="503"/>
      <c r="AI42" s="587"/>
      <c r="AJ42" s="26"/>
      <c r="AK42" s="49"/>
      <c r="AN42" s="606">
        <f>Data!K4</f>
        <v>20</v>
      </c>
      <c r="AO42" s="607"/>
      <c r="AP42" s="56"/>
      <c r="AQ42" s="288">
        <f>COUNTIF(T42:AI43,"&gt;="&amp;AN42)</f>
        <v>0</v>
      </c>
      <c r="AR42" s="56"/>
      <c r="AS42" s="56"/>
      <c r="AT42" s="56"/>
      <c r="AU42" s="56"/>
      <c r="AV42" s="56"/>
      <c r="AW42" s="58"/>
      <c r="AX42" s="58"/>
      <c r="AY42" s="58"/>
      <c r="AZ42" s="58"/>
      <c r="BA42" s="58"/>
      <c r="BB42" s="58"/>
      <c r="BC42" s="58"/>
      <c r="BD42" s="58"/>
      <c r="BE42" s="57"/>
      <c r="BF42" s="57"/>
      <c r="BG42" s="57"/>
      <c r="BH42" s="57"/>
      <c r="BI42" s="57"/>
      <c r="BJ42" s="57"/>
      <c r="BK42" s="57"/>
      <c r="BL42" s="57"/>
      <c r="BM42" s="57"/>
      <c r="BN42" s="57"/>
      <c r="BO42" s="57"/>
      <c r="BP42" s="57"/>
      <c r="BQ42" s="57"/>
      <c r="BR42" s="57"/>
      <c r="BS42" s="57"/>
      <c r="BT42" s="57"/>
    </row>
    <row r="43" spans="1:72" ht="12" customHeight="1">
      <c r="A43" s="48"/>
      <c r="B43" s="26"/>
      <c r="C43" s="565"/>
      <c r="D43" s="566"/>
      <c r="E43" s="589" t="s">
        <v>48</v>
      </c>
      <c r="F43" s="590"/>
      <c r="G43" s="590"/>
      <c r="H43" s="590"/>
      <c r="I43" s="590"/>
      <c r="J43" s="590"/>
      <c r="K43" s="590"/>
      <c r="L43" s="571"/>
      <c r="M43" s="572"/>
      <c r="N43" s="571"/>
      <c r="O43" s="572"/>
      <c r="P43" s="571"/>
      <c r="Q43" s="572"/>
      <c r="R43" s="575"/>
      <c r="S43" s="576"/>
      <c r="T43" s="501"/>
      <c r="U43" s="502"/>
      <c r="V43" s="504"/>
      <c r="W43" s="502"/>
      <c r="X43" s="504"/>
      <c r="Y43" s="502"/>
      <c r="Z43" s="504"/>
      <c r="AA43" s="502"/>
      <c r="AB43" s="504"/>
      <c r="AC43" s="502"/>
      <c r="AD43" s="504"/>
      <c r="AE43" s="502"/>
      <c r="AF43" s="504"/>
      <c r="AG43" s="502"/>
      <c r="AH43" s="504"/>
      <c r="AI43" s="588"/>
      <c r="AJ43" s="26"/>
      <c r="AK43" s="49"/>
      <c r="AN43" s="608"/>
      <c r="AO43" s="609"/>
      <c r="AP43" s="56"/>
      <c r="AQ43" s="56"/>
      <c r="AR43" s="56"/>
      <c r="AS43" s="288">
        <f>IF(AQ42=8,IF(AQ44=8,1,0),0)</f>
        <v>0</v>
      </c>
      <c r="AT43" s="56"/>
      <c r="AU43" s="56"/>
      <c r="AV43" s="56"/>
      <c r="AW43" s="59"/>
      <c r="AX43" s="59"/>
      <c r="AY43" s="59"/>
      <c r="AZ43" s="59"/>
      <c r="BA43" s="59"/>
      <c r="BB43" s="59"/>
      <c r="BC43" s="59"/>
      <c r="BD43" s="59"/>
      <c r="BE43" s="57"/>
      <c r="BF43" s="57"/>
      <c r="BG43" s="57"/>
      <c r="BH43" s="57"/>
      <c r="BI43" s="57"/>
      <c r="BJ43" s="57"/>
      <c r="BK43" s="57"/>
      <c r="BL43" s="57"/>
      <c r="BM43" s="57"/>
      <c r="BN43" s="57"/>
      <c r="BO43" s="57"/>
      <c r="BP43" s="57"/>
      <c r="BQ43" s="57"/>
      <c r="BR43" s="57"/>
      <c r="BS43" s="57"/>
      <c r="BT43" s="57"/>
    </row>
    <row r="44" spans="1:72" ht="12" customHeight="1">
      <c r="A44" s="48"/>
      <c r="B44" s="26"/>
      <c r="C44" s="565"/>
      <c r="D44" s="566"/>
      <c r="E44" s="557" t="s">
        <v>49</v>
      </c>
      <c r="F44" s="558"/>
      <c r="G44" s="558"/>
      <c r="H44" s="558"/>
      <c r="I44" s="558"/>
      <c r="J44" s="558"/>
      <c r="K44" s="558"/>
      <c r="L44" s="577">
        <v>150</v>
      </c>
      <c r="M44" s="578"/>
      <c r="N44" s="581">
        <v>105</v>
      </c>
      <c r="O44" s="582"/>
      <c r="P44" s="577">
        <v>200</v>
      </c>
      <c r="Q44" s="578"/>
      <c r="R44" s="577">
        <v>140</v>
      </c>
      <c r="S44" s="585"/>
      <c r="T44" s="559"/>
      <c r="U44" s="560"/>
      <c r="V44" s="551"/>
      <c r="W44" s="560"/>
      <c r="X44" s="551"/>
      <c r="Y44" s="560"/>
      <c r="Z44" s="551"/>
      <c r="AA44" s="560"/>
      <c r="AB44" s="551"/>
      <c r="AC44" s="560"/>
      <c r="AD44" s="551"/>
      <c r="AE44" s="560"/>
      <c r="AF44" s="551"/>
      <c r="AG44" s="560"/>
      <c r="AH44" s="551"/>
      <c r="AI44" s="552"/>
      <c r="AJ44" s="26"/>
      <c r="AK44" s="49"/>
      <c r="AN44" s="606">
        <f>Data!K5</f>
        <v>20</v>
      </c>
      <c r="AO44" s="607"/>
      <c r="AP44" s="56"/>
      <c r="AQ44" s="288">
        <f>COUNTIF(T44:AI45,"&gt;="&amp;AN44)</f>
        <v>0</v>
      </c>
      <c r="AR44" s="56"/>
      <c r="AS44" s="288"/>
      <c r="AT44" s="56"/>
      <c r="AU44" s="56"/>
      <c r="AV44" s="56"/>
      <c r="AW44" s="58"/>
      <c r="AX44" s="58"/>
      <c r="AY44" s="58"/>
      <c r="AZ44" s="58"/>
      <c r="BA44" s="58"/>
      <c r="BB44" s="58"/>
      <c r="BC44" s="58"/>
      <c r="BD44" s="58"/>
      <c r="BE44" s="57"/>
      <c r="BF44" s="57"/>
      <c r="BG44" s="57"/>
      <c r="BH44" s="57"/>
      <c r="BI44" s="57"/>
      <c r="BJ44" s="57"/>
      <c r="BK44" s="57"/>
      <c r="BL44" s="57"/>
      <c r="BM44" s="57"/>
      <c r="BN44" s="57"/>
      <c r="BO44" s="57"/>
      <c r="BP44" s="57"/>
      <c r="BQ44" s="57"/>
      <c r="BR44" s="57"/>
      <c r="BS44" s="57"/>
      <c r="BT44" s="57"/>
    </row>
    <row r="45" spans="1:72" ht="12" customHeight="1" thickBot="1">
      <c r="A45" s="48"/>
      <c r="B45" s="26"/>
      <c r="C45" s="567"/>
      <c r="D45" s="568"/>
      <c r="E45" s="555" t="s">
        <v>50</v>
      </c>
      <c r="F45" s="556"/>
      <c r="G45" s="556"/>
      <c r="H45" s="556"/>
      <c r="I45" s="556"/>
      <c r="J45" s="556"/>
      <c r="K45" s="556"/>
      <c r="L45" s="579"/>
      <c r="M45" s="580"/>
      <c r="N45" s="583"/>
      <c r="O45" s="584"/>
      <c r="P45" s="579"/>
      <c r="Q45" s="580"/>
      <c r="R45" s="579"/>
      <c r="S45" s="586"/>
      <c r="T45" s="561"/>
      <c r="U45" s="562"/>
      <c r="V45" s="553"/>
      <c r="W45" s="562"/>
      <c r="X45" s="553"/>
      <c r="Y45" s="562"/>
      <c r="Z45" s="553"/>
      <c r="AA45" s="562"/>
      <c r="AB45" s="553"/>
      <c r="AC45" s="562"/>
      <c r="AD45" s="553"/>
      <c r="AE45" s="562"/>
      <c r="AF45" s="553"/>
      <c r="AG45" s="562"/>
      <c r="AH45" s="553"/>
      <c r="AI45" s="554"/>
      <c r="AJ45" s="26"/>
      <c r="AK45" s="49"/>
      <c r="AN45" s="608"/>
      <c r="AO45" s="609"/>
      <c r="AP45" s="56"/>
      <c r="AQ45" s="56"/>
      <c r="AR45" s="56"/>
      <c r="AS45" s="288"/>
      <c r="AT45" s="56"/>
      <c r="AU45" s="56"/>
      <c r="AV45" s="56"/>
      <c r="AW45" s="60"/>
      <c r="AX45" s="60"/>
      <c r="AY45" s="60"/>
      <c r="AZ45" s="60"/>
      <c r="BA45" s="60"/>
      <c r="BB45" s="60"/>
      <c r="BC45" s="60"/>
      <c r="BD45" s="60"/>
      <c r="BE45" s="57"/>
      <c r="BF45" s="57"/>
      <c r="BG45" s="57"/>
      <c r="BH45" s="57"/>
      <c r="BI45" s="57"/>
      <c r="BJ45" s="57"/>
      <c r="BK45" s="57"/>
      <c r="BL45" s="57"/>
      <c r="BM45" s="57"/>
      <c r="BN45" s="57"/>
      <c r="BO45" s="57"/>
      <c r="BP45" s="57"/>
      <c r="BQ45" s="57"/>
      <c r="BR45" s="57"/>
      <c r="BS45" s="57"/>
      <c r="BT45" s="57"/>
    </row>
    <row r="46" spans="1:72" ht="12" customHeight="1" thickTop="1">
      <c r="A46" s="48"/>
      <c r="B46" s="26"/>
      <c r="C46" s="26"/>
      <c r="D46" s="45"/>
      <c r="E46" s="523" t="s">
        <v>43</v>
      </c>
      <c r="F46" s="524"/>
      <c r="G46" s="524"/>
      <c r="H46" s="524"/>
      <c r="I46" s="524"/>
      <c r="J46" s="524"/>
      <c r="K46" s="524"/>
      <c r="L46" s="525" t="s">
        <v>42</v>
      </c>
      <c r="M46" s="524"/>
      <c r="N46" s="524"/>
      <c r="O46" s="524"/>
      <c r="P46" s="524"/>
      <c r="Q46" s="524"/>
      <c r="R46" s="524"/>
      <c r="S46" s="526"/>
      <c r="T46" s="527"/>
      <c r="U46" s="528"/>
      <c r="V46" s="532"/>
      <c r="W46" s="528"/>
      <c r="X46" s="532"/>
      <c r="Y46" s="528"/>
      <c r="Z46" s="532"/>
      <c r="AA46" s="528"/>
      <c r="AB46" s="532"/>
      <c r="AC46" s="528"/>
      <c r="AD46" s="532"/>
      <c r="AE46" s="528"/>
      <c r="AF46" s="532"/>
      <c r="AG46" s="528"/>
      <c r="AH46" s="532"/>
      <c r="AI46" s="535"/>
      <c r="AJ46" s="26"/>
      <c r="AK46" s="49"/>
      <c r="AN46" s="287"/>
      <c r="AO46" s="18"/>
      <c r="AP46" s="44"/>
      <c r="AQ46" s="44"/>
      <c r="AR46" s="44"/>
      <c r="AS46" s="293"/>
      <c r="AT46" s="44"/>
      <c r="AU46" s="44"/>
      <c r="AV46" s="44"/>
      <c r="AW46" s="44"/>
      <c r="AX46" s="44"/>
      <c r="AY46" s="44"/>
      <c r="AZ46" s="44"/>
      <c r="BA46" s="44"/>
      <c r="BB46" s="44"/>
      <c r="BC46" s="44"/>
      <c r="BD46" s="44"/>
      <c r="BE46" s="44"/>
      <c r="BF46" s="44"/>
      <c r="BG46" s="44"/>
      <c r="BH46" s="44"/>
      <c r="BI46" s="44"/>
      <c r="BJ46" s="44"/>
      <c r="BK46" s="44"/>
      <c r="BL46" s="44"/>
      <c r="BM46" s="44"/>
      <c r="BN46" s="44"/>
      <c r="BO46" s="44"/>
      <c r="BP46" s="44"/>
      <c r="BQ46" s="44"/>
      <c r="BR46" s="44"/>
      <c r="BS46" s="44"/>
      <c r="BT46" s="44"/>
    </row>
    <row r="47" spans="1:72" ht="12" customHeight="1">
      <c r="A47" s="48"/>
      <c r="B47" s="26"/>
      <c r="C47" s="26"/>
      <c r="D47" s="45"/>
      <c r="E47" s="537" t="s">
        <v>44</v>
      </c>
      <c r="F47" s="538"/>
      <c r="G47" s="538"/>
      <c r="H47" s="538"/>
      <c r="I47" s="538"/>
      <c r="J47" s="538"/>
      <c r="K47" s="539"/>
      <c r="L47" s="540">
        <v>1</v>
      </c>
      <c r="M47" s="541"/>
      <c r="N47" s="541"/>
      <c r="O47" s="542"/>
      <c r="P47" s="543" t="s">
        <v>45</v>
      </c>
      <c r="Q47" s="544"/>
      <c r="R47" s="544"/>
      <c r="S47" s="545"/>
      <c r="T47" s="529"/>
      <c r="U47" s="528"/>
      <c r="V47" s="533"/>
      <c r="W47" s="528"/>
      <c r="X47" s="533"/>
      <c r="Y47" s="528"/>
      <c r="Z47" s="533"/>
      <c r="AA47" s="528"/>
      <c r="AB47" s="533"/>
      <c r="AC47" s="528"/>
      <c r="AD47" s="533"/>
      <c r="AE47" s="528"/>
      <c r="AF47" s="533"/>
      <c r="AG47" s="528"/>
      <c r="AH47" s="533"/>
      <c r="AI47" s="535"/>
      <c r="AJ47" s="26"/>
      <c r="AK47" s="49"/>
      <c r="AN47" s="287"/>
      <c r="AO47" s="18"/>
      <c r="AP47" s="44"/>
      <c r="AQ47" s="44"/>
      <c r="AR47" s="44"/>
      <c r="AS47" s="293"/>
      <c r="AT47" s="44"/>
      <c r="AU47" s="44"/>
      <c r="AV47" s="44"/>
      <c r="AW47" s="44"/>
      <c r="AX47" s="44"/>
      <c r="AY47" s="44"/>
      <c r="AZ47" s="44"/>
      <c r="BA47" s="44"/>
      <c r="BB47" s="44"/>
      <c r="BC47" s="44"/>
      <c r="BD47" s="44"/>
      <c r="BE47" s="44"/>
      <c r="BF47" s="44"/>
      <c r="BG47" s="44"/>
      <c r="BH47" s="44"/>
      <c r="BI47" s="44"/>
      <c r="BJ47" s="44"/>
      <c r="BK47" s="44"/>
      <c r="BL47" s="44"/>
      <c r="BM47" s="44"/>
      <c r="BN47" s="44"/>
      <c r="BO47" s="44"/>
      <c r="BP47" s="44"/>
      <c r="BQ47" s="44"/>
      <c r="BR47" s="44"/>
      <c r="BS47" s="44"/>
      <c r="BT47" s="44"/>
    </row>
    <row r="48" spans="1:72" ht="12" customHeight="1" thickBot="1">
      <c r="A48" s="48"/>
      <c r="B48" s="26"/>
      <c r="C48" s="26"/>
      <c r="D48" s="45"/>
      <c r="E48" s="546" t="s">
        <v>46</v>
      </c>
      <c r="F48" s="547"/>
      <c r="G48" s="547"/>
      <c r="H48" s="547"/>
      <c r="I48" s="547"/>
      <c r="J48" s="547"/>
      <c r="K48" s="548"/>
      <c r="L48" s="549">
        <v>1</v>
      </c>
      <c r="M48" s="549"/>
      <c r="N48" s="549">
        <v>0.7</v>
      </c>
      <c r="O48" s="549"/>
      <c r="P48" s="549">
        <v>1</v>
      </c>
      <c r="Q48" s="549"/>
      <c r="R48" s="549">
        <v>0.7</v>
      </c>
      <c r="S48" s="550"/>
      <c r="T48" s="530"/>
      <c r="U48" s="531"/>
      <c r="V48" s="534"/>
      <c r="W48" s="531"/>
      <c r="X48" s="534"/>
      <c r="Y48" s="531"/>
      <c r="Z48" s="534"/>
      <c r="AA48" s="531"/>
      <c r="AB48" s="534"/>
      <c r="AC48" s="531"/>
      <c r="AD48" s="534"/>
      <c r="AE48" s="531"/>
      <c r="AF48" s="534"/>
      <c r="AG48" s="531"/>
      <c r="AH48" s="534"/>
      <c r="AI48" s="536"/>
      <c r="AJ48" s="26"/>
      <c r="AK48" s="49"/>
      <c r="AN48" s="287"/>
      <c r="AO48" s="18"/>
      <c r="AS48" s="18"/>
    </row>
    <row r="49" spans="1:52" ht="12" customHeight="1" thickTop="1">
      <c r="A49" s="48"/>
      <c r="B49" s="45"/>
      <c r="C49" s="563" t="s">
        <v>53</v>
      </c>
      <c r="D49" s="564"/>
      <c r="E49" s="497" t="s">
        <v>47</v>
      </c>
      <c r="F49" s="498"/>
      <c r="G49" s="498"/>
      <c r="H49" s="498"/>
      <c r="I49" s="498"/>
      <c r="J49" s="498"/>
      <c r="K49" s="498"/>
      <c r="L49" s="569">
        <v>750</v>
      </c>
      <c r="M49" s="570"/>
      <c r="N49" s="569">
        <v>525</v>
      </c>
      <c r="O49" s="570"/>
      <c r="P49" s="569">
        <v>900</v>
      </c>
      <c r="Q49" s="570"/>
      <c r="R49" s="573">
        <v>630</v>
      </c>
      <c r="S49" s="574"/>
      <c r="T49" s="591"/>
      <c r="U49" s="592"/>
      <c r="V49" s="594"/>
      <c r="W49" s="592"/>
      <c r="X49" s="594"/>
      <c r="Y49" s="592"/>
      <c r="Z49" s="594"/>
      <c r="AA49" s="592"/>
      <c r="AB49" s="594"/>
      <c r="AC49" s="592"/>
      <c r="AD49" s="594"/>
      <c r="AE49" s="592"/>
      <c r="AF49" s="594"/>
      <c r="AG49" s="592"/>
      <c r="AH49" s="594"/>
      <c r="AI49" s="595"/>
      <c r="AJ49" s="45"/>
      <c r="AK49" s="49"/>
      <c r="AN49" s="606">
        <f>Data!L4</f>
        <v>20</v>
      </c>
      <c r="AO49" s="607"/>
      <c r="AQ49" s="288">
        <f>COUNTIF(T49:AI50,"&gt;="&amp;AN49)</f>
        <v>0</v>
      </c>
      <c r="AS49" s="18"/>
    </row>
    <row r="50" spans="1:52" ht="12" customHeight="1">
      <c r="A50" s="48"/>
      <c r="B50" s="45"/>
      <c r="C50" s="565"/>
      <c r="D50" s="566"/>
      <c r="E50" s="589" t="s">
        <v>48</v>
      </c>
      <c r="F50" s="590"/>
      <c r="G50" s="590"/>
      <c r="H50" s="590"/>
      <c r="I50" s="590"/>
      <c r="J50" s="590"/>
      <c r="K50" s="590"/>
      <c r="L50" s="571"/>
      <c r="M50" s="572"/>
      <c r="N50" s="571"/>
      <c r="O50" s="572"/>
      <c r="P50" s="571"/>
      <c r="Q50" s="572"/>
      <c r="R50" s="575"/>
      <c r="S50" s="576"/>
      <c r="T50" s="593"/>
      <c r="U50" s="502"/>
      <c r="V50" s="504"/>
      <c r="W50" s="502"/>
      <c r="X50" s="504"/>
      <c r="Y50" s="502"/>
      <c r="Z50" s="504"/>
      <c r="AA50" s="502"/>
      <c r="AB50" s="504"/>
      <c r="AC50" s="502"/>
      <c r="AD50" s="504"/>
      <c r="AE50" s="502"/>
      <c r="AF50" s="504"/>
      <c r="AG50" s="502"/>
      <c r="AH50" s="504"/>
      <c r="AI50" s="588"/>
      <c r="AJ50" s="45"/>
      <c r="AK50" s="49"/>
      <c r="AN50" s="608"/>
      <c r="AO50" s="609"/>
      <c r="AQ50" s="56"/>
      <c r="AS50" s="288">
        <f>IF(AQ49=8,IF(AQ51=8,1,0),0)</f>
        <v>0</v>
      </c>
    </row>
    <row r="51" spans="1:52" ht="12" customHeight="1">
      <c r="A51" s="48"/>
      <c r="B51" s="45"/>
      <c r="C51" s="565"/>
      <c r="D51" s="566"/>
      <c r="E51" s="557" t="s">
        <v>49</v>
      </c>
      <c r="F51" s="558"/>
      <c r="G51" s="558"/>
      <c r="H51" s="558"/>
      <c r="I51" s="558"/>
      <c r="J51" s="558"/>
      <c r="K51" s="558"/>
      <c r="L51" s="577">
        <v>75</v>
      </c>
      <c r="M51" s="578"/>
      <c r="N51" s="581">
        <v>53</v>
      </c>
      <c r="O51" s="582"/>
      <c r="P51" s="577">
        <v>100</v>
      </c>
      <c r="Q51" s="578"/>
      <c r="R51" s="577">
        <v>70</v>
      </c>
      <c r="S51" s="585"/>
      <c r="T51" s="598"/>
      <c r="U51" s="599"/>
      <c r="V51" s="601"/>
      <c r="W51" s="599"/>
      <c r="X51" s="601"/>
      <c r="Y51" s="599"/>
      <c r="Z51" s="601"/>
      <c r="AA51" s="599"/>
      <c r="AB51" s="601"/>
      <c r="AC51" s="599"/>
      <c r="AD51" s="601"/>
      <c r="AE51" s="599"/>
      <c r="AF51" s="601"/>
      <c r="AG51" s="599"/>
      <c r="AH51" s="601"/>
      <c r="AI51" s="602"/>
      <c r="AJ51" s="45"/>
      <c r="AK51" s="49"/>
      <c r="AN51" s="606">
        <f>Data!L5</f>
        <v>20</v>
      </c>
      <c r="AO51" s="607"/>
      <c r="AQ51" s="288">
        <f>COUNTIF(T51:AI52,"&gt;="&amp;AN51)</f>
        <v>0</v>
      </c>
      <c r="AS51" s="18"/>
    </row>
    <row r="52" spans="1:52" ht="12" customHeight="1" thickBot="1">
      <c r="A52" s="48"/>
      <c r="B52" s="45"/>
      <c r="C52" s="567"/>
      <c r="D52" s="568"/>
      <c r="E52" s="497" t="s">
        <v>50</v>
      </c>
      <c r="F52" s="498"/>
      <c r="G52" s="498"/>
      <c r="H52" s="498"/>
      <c r="I52" s="498"/>
      <c r="J52" s="498"/>
      <c r="K52" s="498"/>
      <c r="L52" s="569"/>
      <c r="M52" s="570"/>
      <c r="N52" s="573"/>
      <c r="O52" s="596"/>
      <c r="P52" s="569"/>
      <c r="Q52" s="570"/>
      <c r="R52" s="569"/>
      <c r="S52" s="597"/>
      <c r="T52" s="600"/>
      <c r="U52" s="562"/>
      <c r="V52" s="553"/>
      <c r="W52" s="562"/>
      <c r="X52" s="553"/>
      <c r="Y52" s="562"/>
      <c r="Z52" s="553"/>
      <c r="AA52" s="562"/>
      <c r="AB52" s="553"/>
      <c r="AC52" s="562"/>
      <c r="AD52" s="553"/>
      <c r="AE52" s="562"/>
      <c r="AF52" s="553"/>
      <c r="AG52" s="562"/>
      <c r="AH52" s="553"/>
      <c r="AI52" s="554"/>
      <c r="AJ52" s="45"/>
      <c r="AK52" s="49"/>
      <c r="AN52" s="608"/>
      <c r="AO52" s="609"/>
      <c r="AS52" s="18"/>
    </row>
    <row r="53" spans="1:52" ht="12" customHeight="1" thickTop="1">
      <c r="A53" s="48"/>
      <c r="B53" s="45"/>
      <c r="C53" s="26"/>
      <c r="D53" s="45"/>
      <c r="E53" s="603" t="s">
        <v>43</v>
      </c>
      <c r="F53" s="521"/>
      <c r="G53" s="521"/>
      <c r="H53" s="521"/>
      <c r="I53" s="521"/>
      <c r="J53" s="521"/>
      <c r="K53" s="521"/>
      <c r="L53" s="604" t="s">
        <v>42</v>
      </c>
      <c r="M53" s="521"/>
      <c r="N53" s="521"/>
      <c r="O53" s="521"/>
      <c r="P53" s="521"/>
      <c r="Q53" s="521"/>
      <c r="R53" s="521"/>
      <c r="S53" s="522"/>
      <c r="T53" s="527"/>
      <c r="U53" s="528"/>
      <c r="V53" s="532"/>
      <c r="W53" s="528"/>
      <c r="X53" s="532"/>
      <c r="Y53" s="528"/>
      <c r="Z53" s="532"/>
      <c r="AA53" s="528"/>
      <c r="AB53" s="532"/>
      <c r="AC53" s="528"/>
      <c r="AD53" s="532"/>
      <c r="AE53" s="528"/>
      <c r="AF53" s="532"/>
      <c r="AG53" s="528"/>
      <c r="AH53" s="532"/>
      <c r="AI53" s="535"/>
      <c r="AJ53" s="45"/>
      <c r="AK53" s="49"/>
      <c r="AN53" s="18"/>
      <c r="AO53" s="18"/>
      <c r="AS53" s="18"/>
    </row>
    <row r="54" spans="1:52" ht="12" customHeight="1">
      <c r="A54" s="48"/>
      <c r="B54" s="45"/>
      <c r="C54" s="26"/>
      <c r="D54" s="45"/>
      <c r="E54" s="537" t="s">
        <v>44</v>
      </c>
      <c r="F54" s="538"/>
      <c r="G54" s="538"/>
      <c r="H54" s="538"/>
      <c r="I54" s="538"/>
      <c r="J54" s="538"/>
      <c r="K54" s="539"/>
      <c r="L54" s="540">
        <v>1</v>
      </c>
      <c r="M54" s="541"/>
      <c r="N54" s="541"/>
      <c r="O54" s="542"/>
      <c r="P54" s="543" t="s">
        <v>45</v>
      </c>
      <c r="Q54" s="544"/>
      <c r="R54" s="544"/>
      <c r="S54" s="545"/>
      <c r="T54" s="529"/>
      <c r="U54" s="528"/>
      <c r="V54" s="533"/>
      <c r="W54" s="528"/>
      <c r="X54" s="533"/>
      <c r="Y54" s="528"/>
      <c r="Z54" s="533"/>
      <c r="AA54" s="528"/>
      <c r="AB54" s="533"/>
      <c r="AC54" s="528"/>
      <c r="AD54" s="533"/>
      <c r="AE54" s="528"/>
      <c r="AF54" s="533"/>
      <c r="AG54" s="528"/>
      <c r="AH54" s="533"/>
      <c r="AI54" s="535"/>
      <c r="AJ54" s="45"/>
      <c r="AK54" s="49"/>
      <c r="AN54" s="18"/>
      <c r="AO54" s="18"/>
      <c r="AS54" s="18"/>
    </row>
    <row r="55" spans="1:52" ht="12" customHeight="1" thickBot="1">
      <c r="A55" s="48"/>
      <c r="B55" s="45"/>
      <c r="C55" s="26"/>
      <c r="D55" s="45"/>
      <c r="E55" s="546" t="s">
        <v>46</v>
      </c>
      <c r="F55" s="547"/>
      <c r="G55" s="547"/>
      <c r="H55" s="547"/>
      <c r="I55" s="547"/>
      <c r="J55" s="547"/>
      <c r="K55" s="548"/>
      <c r="L55" s="549">
        <v>1</v>
      </c>
      <c r="M55" s="549"/>
      <c r="N55" s="549">
        <v>0.7</v>
      </c>
      <c r="O55" s="549"/>
      <c r="P55" s="549">
        <v>1</v>
      </c>
      <c r="Q55" s="549"/>
      <c r="R55" s="549">
        <v>0.7</v>
      </c>
      <c r="S55" s="550"/>
      <c r="T55" s="530"/>
      <c r="U55" s="531"/>
      <c r="V55" s="534"/>
      <c r="W55" s="531"/>
      <c r="X55" s="534"/>
      <c r="Y55" s="531"/>
      <c r="Z55" s="534"/>
      <c r="AA55" s="531"/>
      <c r="AB55" s="534"/>
      <c r="AC55" s="531"/>
      <c r="AD55" s="534"/>
      <c r="AE55" s="531"/>
      <c r="AF55" s="534"/>
      <c r="AG55" s="531"/>
      <c r="AH55" s="534"/>
      <c r="AI55" s="536"/>
      <c r="AJ55" s="45"/>
      <c r="AK55" s="49"/>
      <c r="AN55" s="18"/>
      <c r="AO55" s="18"/>
      <c r="AS55" s="18"/>
    </row>
    <row r="56" spans="1:52" ht="12" customHeight="1" thickTop="1">
      <c r="A56" s="48"/>
      <c r="B56" s="45"/>
      <c r="C56" s="563" t="s">
        <v>54</v>
      </c>
      <c r="D56" s="564"/>
      <c r="E56" s="497" t="s">
        <v>47</v>
      </c>
      <c r="F56" s="498"/>
      <c r="G56" s="498"/>
      <c r="H56" s="498"/>
      <c r="I56" s="498"/>
      <c r="J56" s="498"/>
      <c r="K56" s="498"/>
      <c r="L56" s="569">
        <v>400</v>
      </c>
      <c r="M56" s="570"/>
      <c r="N56" s="569">
        <v>280</v>
      </c>
      <c r="O56" s="570"/>
      <c r="P56" s="569">
        <v>480</v>
      </c>
      <c r="Q56" s="570"/>
      <c r="R56" s="573">
        <v>336</v>
      </c>
      <c r="S56" s="574"/>
      <c r="T56" s="591"/>
      <c r="U56" s="592"/>
      <c r="V56" s="594"/>
      <c r="W56" s="592"/>
      <c r="X56" s="594"/>
      <c r="Y56" s="592"/>
      <c r="Z56" s="594"/>
      <c r="AA56" s="592"/>
      <c r="AB56" s="594"/>
      <c r="AC56" s="592"/>
      <c r="AD56" s="594"/>
      <c r="AE56" s="592"/>
      <c r="AF56" s="594"/>
      <c r="AG56" s="592"/>
      <c r="AH56" s="594"/>
      <c r="AI56" s="595"/>
      <c r="AJ56" s="45"/>
      <c r="AK56" s="49"/>
      <c r="AN56" s="606">
        <f>Data!K7</f>
        <v>10</v>
      </c>
      <c r="AO56" s="607"/>
      <c r="AQ56" s="288">
        <f>COUNTIF($T56:$AI57,"&gt;="&amp;AN56)</f>
        <v>0</v>
      </c>
      <c r="AS56" s="18"/>
      <c r="AU56" s="490" t="str">
        <f>Data!K13</f>
        <v/>
      </c>
      <c r="AV56" s="490"/>
      <c r="AX56" s="288">
        <f>COUNTIF($T56:$AI57,"&gt;="&amp;AU56)</f>
        <v>0</v>
      </c>
    </row>
    <row r="57" spans="1:52" ht="12" customHeight="1">
      <c r="A57" s="48"/>
      <c r="B57" s="45"/>
      <c r="C57" s="565"/>
      <c r="D57" s="566"/>
      <c r="E57" s="589" t="s">
        <v>48</v>
      </c>
      <c r="F57" s="590"/>
      <c r="G57" s="590"/>
      <c r="H57" s="590"/>
      <c r="I57" s="590"/>
      <c r="J57" s="590"/>
      <c r="K57" s="590"/>
      <c r="L57" s="571"/>
      <c r="M57" s="572"/>
      <c r="N57" s="571"/>
      <c r="O57" s="572"/>
      <c r="P57" s="571"/>
      <c r="Q57" s="572"/>
      <c r="R57" s="575"/>
      <c r="S57" s="576"/>
      <c r="T57" s="593"/>
      <c r="U57" s="502"/>
      <c r="V57" s="504"/>
      <c r="W57" s="502"/>
      <c r="X57" s="504"/>
      <c r="Y57" s="502"/>
      <c r="Z57" s="504"/>
      <c r="AA57" s="502"/>
      <c r="AB57" s="504"/>
      <c r="AC57" s="502"/>
      <c r="AD57" s="504"/>
      <c r="AE57" s="502"/>
      <c r="AF57" s="504"/>
      <c r="AG57" s="502"/>
      <c r="AH57" s="504"/>
      <c r="AI57" s="588"/>
      <c r="AJ57" s="45"/>
      <c r="AK57" s="49"/>
      <c r="AN57" s="608"/>
      <c r="AO57" s="609"/>
      <c r="AQ57" s="56"/>
      <c r="AS57" s="288">
        <f>IF(AQ56=8,IF(AQ58=8,1,0),0)</f>
        <v>0</v>
      </c>
      <c r="AU57" s="490"/>
      <c r="AV57" s="490"/>
      <c r="AX57" s="56"/>
      <c r="AZ57" s="288">
        <f>IF(AX56=8,IF(AX58=8,1,0),0)</f>
        <v>0</v>
      </c>
    </row>
    <row r="58" spans="1:52" ht="12" customHeight="1">
      <c r="A58" s="48"/>
      <c r="B58" s="45"/>
      <c r="C58" s="565"/>
      <c r="D58" s="566"/>
      <c r="E58" s="557" t="s">
        <v>49</v>
      </c>
      <c r="F58" s="558"/>
      <c r="G58" s="558"/>
      <c r="H58" s="558"/>
      <c r="I58" s="558"/>
      <c r="J58" s="558"/>
      <c r="K58" s="558"/>
      <c r="L58" s="577">
        <v>120</v>
      </c>
      <c r="M58" s="578"/>
      <c r="N58" s="581">
        <v>84</v>
      </c>
      <c r="O58" s="582"/>
      <c r="P58" s="577">
        <v>160</v>
      </c>
      <c r="Q58" s="578"/>
      <c r="R58" s="577">
        <v>112</v>
      </c>
      <c r="S58" s="585"/>
      <c r="T58" s="598"/>
      <c r="U58" s="599"/>
      <c r="V58" s="601"/>
      <c r="W58" s="599"/>
      <c r="X58" s="601"/>
      <c r="Y58" s="599"/>
      <c r="Z58" s="601"/>
      <c r="AA58" s="599"/>
      <c r="AB58" s="601"/>
      <c r="AC58" s="599"/>
      <c r="AD58" s="601"/>
      <c r="AE58" s="599"/>
      <c r="AF58" s="601"/>
      <c r="AG58" s="599"/>
      <c r="AH58" s="601"/>
      <c r="AI58" s="602"/>
      <c r="AJ58" s="45"/>
      <c r="AK58" s="49"/>
      <c r="AN58" s="606">
        <f>Data!K8</f>
        <v>10</v>
      </c>
      <c r="AO58" s="607"/>
      <c r="AQ58" s="288">
        <f>COUNTIF($T58:$AI59,"&gt;="&amp;AN58)</f>
        <v>0</v>
      </c>
      <c r="AS58" s="18"/>
      <c r="AU58" s="490" t="str">
        <f>Data!K14</f>
        <v/>
      </c>
      <c r="AV58" s="490"/>
      <c r="AX58" s="288">
        <f>COUNTIF($T58:$AI59,"&gt;="&amp;AU58)</f>
        <v>0</v>
      </c>
      <c r="AZ58" s="18"/>
    </row>
    <row r="59" spans="1:52" ht="12" customHeight="1" thickBot="1">
      <c r="A59" s="48"/>
      <c r="B59" s="45"/>
      <c r="C59" s="567"/>
      <c r="D59" s="568"/>
      <c r="E59" s="555" t="s">
        <v>50</v>
      </c>
      <c r="F59" s="556"/>
      <c r="G59" s="556"/>
      <c r="H59" s="556"/>
      <c r="I59" s="556"/>
      <c r="J59" s="556"/>
      <c r="K59" s="556"/>
      <c r="L59" s="579"/>
      <c r="M59" s="580"/>
      <c r="N59" s="583"/>
      <c r="O59" s="584"/>
      <c r="P59" s="579"/>
      <c r="Q59" s="580"/>
      <c r="R59" s="579"/>
      <c r="S59" s="586"/>
      <c r="T59" s="600"/>
      <c r="U59" s="562"/>
      <c r="V59" s="553"/>
      <c r="W59" s="562"/>
      <c r="X59" s="553"/>
      <c r="Y59" s="562"/>
      <c r="Z59" s="553"/>
      <c r="AA59" s="562"/>
      <c r="AB59" s="553"/>
      <c r="AC59" s="562"/>
      <c r="AD59" s="553"/>
      <c r="AE59" s="562"/>
      <c r="AF59" s="553"/>
      <c r="AG59" s="562"/>
      <c r="AH59" s="553"/>
      <c r="AI59" s="554"/>
      <c r="AJ59" s="45"/>
      <c r="AK59" s="49"/>
      <c r="AN59" s="608"/>
      <c r="AO59" s="609"/>
      <c r="AS59" s="18"/>
      <c r="AU59" s="490"/>
      <c r="AV59" s="490"/>
      <c r="AZ59" s="18"/>
    </row>
    <row r="60" spans="1:52" ht="12" customHeight="1" thickTop="1">
      <c r="A60" s="48"/>
      <c r="B60" s="45"/>
      <c r="C60" s="26"/>
      <c r="D60" s="45"/>
      <c r="E60" s="523" t="s">
        <v>43</v>
      </c>
      <c r="F60" s="524"/>
      <c r="G60" s="524"/>
      <c r="H60" s="524"/>
      <c r="I60" s="524"/>
      <c r="J60" s="524"/>
      <c r="K60" s="524"/>
      <c r="L60" s="525" t="s">
        <v>42</v>
      </c>
      <c r="M60" s="524"/>
      <c r="N60" s="524"/>
      <c r="O60" s="524"/>
      <c r="P60" s="524"/>
      <c r="Q60" s="524"/>
      <c r="R60" s="524"/>
      <c r="S60" s="526"/>
      <c r="T60" s="527"/>
      <c r="U60" s="528"/>
      <c r="V60" s="532"/>
      <c r="W60" s="528"/>
      <c r="X60" s="532"/>
      <c r="Y60" s="528"/>
      <c r="Z60" s="532"/>
      <c r="AA60" s="528"/>
      <c r="AB60" s="532"/>
      <c r="AC60" s="528"/>
      <c r="AD60" s="532"/>
      <c r="AE60" s="528"/>
      <c r="AF60" s="532"/>
      <c r="AG60" s="528"/>
      <c r="AH60" s="532"/>
      <c r="AI60" s="535"/>
      <c r="AJ60" s="45"/>
      <c r="AK60" s="49"/>
      <c r="AN60" s="18"/>
      <c r="AO60" s="18"/>
      <c r="AS60" s="18"/>
      <c r="AU60" s="73"/>
      <c r="AV60" s="73"/>
      <c r="AZ60" s="18"/>
    </row>
    <row r="61" spans="1:52" ht="12" customHeight="1">
      <c r="A61" s="48"/>
      <c r="B61" s="45"/>
      <c r="C61" s="26"/>
      <c r="D61" s="45"/>
      <c r="E61" s="537" t="s">
        <v>44</v>
      </c>
      <c r="F61" s="538"/>
      <c r="G61" s="538"/>
      <c r="H61" s="538"/>
      <c r="I61" s="538"/>
      <c r="J61" s="538"/>
      <c r="K61" s="539"/>
      <c r="L61" s="540">
        <v>1</v>
      </c>
      <c r="M61" s="541"/>
      <c r="N61" s="541"/>
      <c r="O61" s="542"/>
      <c r="P61" s="543" t="s">
        <v>45</v>
      </c>
      <c r="Q61" s="544"/>
      <c r="R61" s="544"/>
      <c r="S61" s="545"/>
      <c r="T61" s="529"/>
      <c r="U61" s="528"/>
      <c r="V61" s="533"/>
      <c r="W61" s="528"/>
      <c r="X61" s="533"/>
      <c r="Y61" s="528"/>
      <c r="Z61" s="533"/>
      <c r="AA61" s="528"/>
      <c r="AB61" s="533"/>
      <c r="AC61" s="528"/>
      <c r="AD61" s="533"/>
      <c r="AE61" s="528"/>
      <c r="AF61" s="533"/>
      <c r="AG61" s="528"/>
      <c r="AH61" s="533"/>
      <c r="AI61" s="535"/>
      <c r="AJ61" s="45"/>
      <c r="AK61" s="49"/>
      <c r="AN61" s="18"/>
      <c r="AO61" s="18"/>
      <c r="AS61" s="18"/>
      <c r="AU61" s="73"/>
      <c r="AV61" s="73"/>
      <c r="AZ61" s="18"/>
    </row>
    <row r="62" spans="1:52" ht="12" customHeight="1" thickBot="1">
      <c r="A62" s="48"/>
      <c r="B62" s="45"/>
      <c r="C62" s="26"/>
      <c r="D62" s="45"/>
      <c r="E62" s="546" t="s">
        <v>46</v>
      </c>
      <c r="F62" s="547"/>
      <c r="G62" s="547"/>
      <c r="H62" s="547"/>
      <c r="I62" s="547"/>
      <c r="J62" s="547"/>
      <c r="K62" s="548"/>
      <c r="L62" s="549">
        <v>1</v>
      </c>
      <c r="M62" s="549"/>
      <c r="N62" s="549">
        <v>0.7</v>
      </c>
      <c r="O62" s="549"/>
      <c r="P62" s="549">
        <v>1</v>
      </c>
      <c r="Q62" s="549"/>
      <c r="R62" s="549">
        <v>0.7</v>
      </c>
      <c r="S62" s="550"/>
      <c r="T62" s="530"/>
      <c r="U62" s="531"/>
      <c r="V62" s="534"/>
      <c r="W62" s="531"/>
      <c r="X62" s="534"/>
      <c r="Y62" s="531"/>
      <c r="Z62" s="534"/>
      <c r="AA62" s="531"/>
      <c r="AB62" s="534"/>
      <c r="AC62" s="531"/>
      <c r="AD62" s="534"/>
      <c r="AE62" s="531"/>
      <c r="AF62" s="534"/>
      <c r="AG62" s="531"/>
      <c r="AH62" s="534"/>
      <c r="AI62" s="536"/>
      <c r="AJ62" s="45"/>
      <c r="AK62" s="49"/>
      <c r="AN62" s="18"/>
      <c r="AO62" s="18"/>
      <c r="AS62" s="18"/>
      <c r="AU62" s="73"/>
      <c r="AV62" s="73"/>
      <c r="AZ62" s="18"/>
    </row>
    <row r="63" spans="1:52" ht="12" customHeight="1" thickTop="1">
      <c r="A63" s="48"/>
      <c r="B63" s="45"/>
      <c r="C63" s="563" t="s">
        <v>55</v>
      </c>
      <c r="D63" s="564"/>
      <c r="E63" s="497" t="s">
        <v>47</v>
      </c>
      <c r="F63" s="498"/>
      <c r="G63" s="498"/>
      <c r="H63" s="498"/>
      <c r="I63" s="498"/>
      <c r="J63" s="498"/>
      <c r="K63" s="498"/>
      <c r="L63" s="569">
        <v>600</v>
      </c>
      <c r="M63" s="570"/>
      <c r="N63" s="569">
        <v>420</v>
      </c>
      <c r="O63" s="570"/>
      <c r="P63" s="569">
        <v>720</v>
      </c>
      <c r="Q63" s="570"/>
      <c r="R63" s="573">
        <v>504</v>
      </c>
      <c r="S63" s="574"/>
      <c r="T63" s="499"/>
      <c r="U63" s="500"/>
      <c r="V63" s="503"/>
      <c r="W63" s="500"/>
      <c r="X63" s="503"/>
      <c r="Y63" s="500"/>
      <c r="Z63" s="503"/>
      <c r="AA63" s="500"/>
      <c r="AB63" s="503"/>
      <c r="AC63" s="500"/>
      <c r="AD63" s="503"/>
      <c r="AE63" s="500"/>
      <c r="AF63" s="503"/>
      <c r="AG63" s="500"/>
      <c r="AH63" s="503"/>
      <c r="AI63" s="587"/>
      <c r="AJ63" s="45"/>
      <c r="AK63" s="49"/>
      <c r="AN63" s="606">
        <f>Data!L7</f>
        <v>10</v>
      </c>
      <c r="AO63" s="607"/>
      <c r="AQ63" s="288">
        <f>COUNTIF($T63:$AI64,"&gt;="&amp;AN63)</f>
        <v>0</v>
      </c>
      <c r="AS63" s="18"/>
      <c r="AU63" s="490" t="str">
        <f>Data!L13</f>
        <v/>
      </c>
      <c r="AV63" s="490"/>
      <c r="AX63" s="288">
        <f>COUNTIF($T63:$AI64,"&gt;="&amp;AU63)</f>
        <v>0</v>
      </c>
      <c r="AZ63" s="18"/>
    </row>
    <row r="64" spans="1:52" ht="12" customHeight="1">
      <c r="A64" s="48"/>
      <c r="B64" s="45"/>
      <c r="C64" s="565"/>
      <c r="D64" s="566"/>
      <c r="E64" s="589" t="s">
        <v>48</v>
      </c>
      <c r="F64" s="590"/>
      <c r="G64" s="590"/>
      <c r="H64" s="590"/>
      <c r="I64" s="590"/>
      <c r="J64" s="590"/>
      <c r="K64" s="590"/>
      <c r="L64" s="571"/>
      <c r="M64" s="572"/>
      <c r="N64" s="571"/>
      <c r="O64" s="572"/>
      <c r="P64" s="571"/>
      <c r="Q64" s="572"/>
      <c r="R64" s="575"/>
      <c r="S64" s="576"/>
      <c r="T64" s="501"/>
      <c r="U64" s="502"/>
      <c r="V64" s="504"/>
      <c r="W64" s="502"/>
      <c r="X64" s="504"/>
      <c r="Y64" s="502"/>
      <c r="Z64" s="504"/>
      <c r="AA64" s="502"/>
      <c r="AB64" s="504"/>
      <c r="AC64" s="502"/>
      <c r="AD64" s="504"/>
      <c r="AE64" s="502"/>
      <c r="AF64" s="504"/>
      <c r="AG64" s="502"/>
      <c r="AH64" s="504"/>
      <c r="AI64" s="588"/>
      <c r="AJ64" s="45"/>
      <c r="AK64" s="49"/>
      <c r="AN64" s="608"/>
      <c r="AO64" s="609"/>
      <c r="AQ64" s="56"/>
      <c r="AS64" s="288">
        <f>IF(AQ63=8,IF(AQ65=8,1,0),0)</f>
        <v>0</v>
      </c>
      <c r="AU64" s="490"/>
      <c r="AV64" s="490"/>
      <c r="AX64" s="56"/>
      <c r="AZ64" s="288">
        <f>IF(AX63=8,IF(AX65=8,1,0),0)</f>
        <v>0</v>
      </c>
    </row>
    <row r="65" spans="1:50" ht="12" customHeight="1">
      <c r="A65" s="48"/>
      <c r="B65" s="45"/>
      <c r="C65" s="565"/>
      <c r="D65" s="566"/>
      <c r="E65" s="557" t="s">
        <v>49</v>
      </c>
      <c r="F65" s="558"/>
      <c r="G65" s="558"/>
      <c r="H65" s="558"/>
      <c r="I65" s="558"/>
      <c r="J65" s="558"/>
      <c r="K65" s="558"/>
      <c r="L65" s="577">
        <v>60</v>
      </c>
      <c r="M65" s="578"/>
      <c r="N65" s="581">
        <v>42</v>
      </c>
      <c r="O65" s="582"/>
      <c r="P65" s="577">
        <v>80</v>
      </c>
      <c r="Q65" s="578"/>
      <c r="R65" s="577">
        <v>56</v>
      </c>
      <c r="S65" s="585"/>
      <c r="T65" s="559"/>
      <c r="U65" s="560"/>
      <c r="V65" s="551"/>
      <c r="W65" s="560"/>
      <c r="X65" s="551"/>
      <c r="Y65" s="560"/>
      <c r="Z65" s="551"/>
      <c r="AA65" s="560"/>
      <c r="AB65" s="551"/>
      <c r="AC65" s="560"/>
      <c r="AD65" s="551"/>
      <c r="AE65" s="560"/>
      <c r="AF65" s="551"/>
      <c r="AG65" s="560"/>
      <c r="AH65" s="551"/>
      <c r="AI65" s="552"/>
      <c r="AJ65" s="45"/>
      <c r="AK65" s="49"/>
      <c r="AN65" s="606">
        <f>Data!L8</f>
        <v>10</v>
      </c>
      <c r="AO65" s="607"/>
      <c r="AQ65" s="288">
        <f>COUNTIF($T65:$AI66,"&gt;="&amp;AN65)</f>
        <v>0</v>
      </c>
      <c r="AU65" s="490" t="str">
        <f>Data!L14</f>
        <v/>
      </c>
      <c r="AV65" s="490"/>
      <c r="AX65" s="288">
        <f>COUNTIF($T65:$AI66,"&gt;="&amp;AU65)</f>
        <v>0</v>
      </c>
    </row>
    <row r="66" spans="1:50" ht="12" customHeight="1" thickBot="1">
      <c r="A66" s="48"/>
      <c r="B66" s="45"/>
      <c r="C66" s="567"/>
      <c r="D66" s="568"/>
      <c r="E66" s="555" t="s">
        <v>50</v>
      </c>
      <c r="F66" s="556"/>
      <c r="G66" s="556"/>
      <c r="H66" s="556"/>
      <c r="I66" s="556"/>
      <c r="J66" s="556"/>
      <c r="K66" s="556"/>
      <c r="L66" s="579"/>
      <c r="M66" s="580"/>
      <c r="N66" s="583"/>
      <c r="O66" s="584"/>
      <c r="P66" s="579"/>
      <c r="Q66" s="580"/>
      <c r="R66" s="579"/>
      <c r="S66" s="586"/>
      <c r="T66" s="561"/>
      <c r="U66" s="562"/>
      <c r="V66" s="553"/>
      <c r="W66" s="562"/>
      <c r="X66" s="553"/>
      <c r="Y66" s="562"/>
      <c r="Z66" s="553"/>
      <c r="AA66" s="562"/>
      <c r="AB66" s="553"/>
      <c r="AC66" s="562"/>
      <c r="AD66" s="553"/>
      <c r="AE66" s="562"/>
      <c r="AF66" s="553"/>
      <c r="AG66" s="562"/>
      <c r="AH66" s="553"/>
      <c r="AI66" s="554"/>
      <c r="AJ66" s="45"/>
      <c r="AK66" s="49"/>
      <c r="AN66" s="608"/>
      <c r="AO66" s="609"/>
      <c r="AU66" s="490"/>
      <c r="AV66" s="490"/>
    </row>
    <row r="67" spans="1:50" ht="9" customHeight="1" thickTop="1">
      <c r="A67" s="50"/>
      <c r="B67" s="51"/>
      <c r="C67" s="51"/>
      <c r="D67" s="51"/>
      <c r="E67" s="51"/>
      <c r="F67" s="51"/>
      <c r="G67" s="51"/>
      <c r="H67" s="51"/>
      <c r="I67" s="51"/>
      <c r="J67" s="51"/>
      <c r="K67" s="51"/>
      <c r="L67" s="51"/>
      <c r="M67" s="51"/>
      <c r="N67" s="51"/>
      <c r="O67" s="51"/>
      <c r="P67" s="51"/>
      <c r="Q67" s="51"/>
      <c r="R67" s="51"/>
      <c r="S67" s="51"/>
      <c r="T67" s="51"/>
      <c r="U67" s="51"/>
      <c r="V67" s="51"/>
      <c r="W67" s="51"/>
      <c r="X67" s="51"/>
      <c r="Y67" s="51"/>
      <c r="Z67" s="51"/>
      <c r="AA67" s="51"/>
      <c r="AB67" s="51"/>
      <c r="AC67" s="51"/>
      <c r="AD67" s="51"/>
      <c r="AE67" s="51"/>
      <c r="AF67" s="51"/>
      <c r="AG67" s="51"/>
      <c r="AH67" s="51"/>
      <c r="AI67" s="51"/>
      <c r="AJ67" s="51"/>
      <c r="AK67" s="52"/>
    </row>
    <row r="68" spans="1:50" ht="12" customHeight="1"/>
    <row r="69" spans="1:50" ht="12" customHeight="1"/>
    <row r="70" spans="1:50" ht="12" customHeight="1"/>
    <row r="71" spans="1:50" ht="12" customHeight="1"/>
    <row r="72" spans="1:50" ht="12" customHeight="1"/>
    <row r="73" spans="1:50" ht="12" customHeight="1"/>
    <row r="74" spans="1:50" ht="12" customHeight="1"/>
    <row r="75" spans="1:50" ht="12" customHeight="1"/>
    <row r="76" spans="1:50" ht="12" customHeight="1"/>
    <row r="77" spans="1:50" ht="12" customHeight="1"/>
    <row r="78" spans="1:50" ht="12" customHeight="1"/>
  </sheetData>
  <sheetProtection sheet="1" objects="1" scenarios="1" selectLockedCells="1"/>
  <mergeCells count="221">
    <mergeCell ref="X34:AB34"/>
    <mergeCell ref="AN42:AO43"/>
    <mergeCell ref="AN44:AO45"/>
    <mergeCell ref="AN49:AO50"/>
    <mergeCell ref="AN51:AO52"/>
    <mergeCell ref="AN56:AO57"/>
    <mergeCell ref="AN58:AO59"/>
    <mergeCell ref="AN63:AO64"/>
    <mergeCell ref="AN65:AO66"/>
    <mergeCell ref="K36:AB36"/>
    <mergeCell ref="Z63:AA64"/>
    <mergeCell ref="AB63:AC64"/>
    <mergeCell ref="AD63:AE64"/>
    <mergeCell ref="AF63:AG64"/>
    <mergeCell ref="AH63:AI64"/>
    <mergeCell ref="E64:K64"/>
    <mergeCell ref="E65:K65"/>
    <mergeCell ref="L65:M66"/>
    <mergeCell ref="N65:O66"/>
    <mergeCell ref="P65:Q66"/>
    <mergeCell ref="R65:S66"/>
    <mergeCell ref="T65:U66"/>
    <mergeCell ref="V65:W66"/>
    <mergeCell ref="X65:Y66"/>
    <mergeCell ref="Z65:AA66"/>
    <mergeCell ref="AB65:AC66"/>
    <mergeCell ref="AD65:AE66"/>
    <mergeCell ref="AF65:AG66"/>
    <mergeCell ref="AH65:AI66"/>
    <mergeCell ref="E66:K66"/>
    <mergeCell ref="C63:D66"/>
    <mergeCell ref="E63:K63"/>
    <mergeCell ref="L63:M64"/>
    <mergeCell ref="N63:O64"/>
    <mergeCell ref="P63:Q64"/>
    <mergeCell ref="R63:S64"/>
    <mergeCell ref="T63:U64"/>
    <mergeCell ref="V63:W64"/>
    <mergeCell ref="X63:Y64"/>
    <mergeCell ref="AH60:AI62"/>
    <mergeCell ref="E61:K61"/>
    <mergeCell ref="L61:O61"/>
    <mergeCell ref="P61:S61"/>
    <mergeCell ref="E62:K62"/>
    <mergeCell ref="L62:M62"/>
    <mergeCell ref="N62:O62"/>
    <mergeCell ref="P62:Q62"/>
    <mergeCell ref="R62:S62"/>
    <mergeCell ref="E60:K60"/>
    <mergeCell ref="L60:S60"/>
    <mergeCell ref="T60:U62"/>
    <mergeCell ref="V60:W62"/>
    <mergeCell ref="X60:Y62"/>
    <mergeCell ref="Z60:AA62"/>
    <mergeCell ref="AB60:AC62"/>
    <mergeCell ref="AD60:AE62"/>
    <mergeCell ref="AF60:AG62"/>
    <mergeCell ref="Z56:AA57"/>
    <mergeCell ref="AB56:AC57"/>
    <mergeCell ref="AD56:AE57"/>
    <mergeCell ref="AF56:AG57"/>
    <mergeCell ref="AH56:AI57"/>
    <mergeCell ref="E57:K57"/>
    <mergeCell ref="E58:K58"/>
    <mergeCell ref="L58:M59"/>
    <mergeCell ref="N58:O59"/>
    <mergeCell ref="P58:Q59"/>
    <mergeCell ref="R58:S59"/>
    <mergeCell ref="T58:U59"/>
    <mergeCell ref="V58:W59"/>
    <mergeCell ref="X58:Y59"/>
    <mergeCell ref="Z58:AA59"/>
    <mergeCell ref="AB58:AC59"/>
    <mergeCell ref="AD58:AE59"/>
    <mergeCell ref="AF58:AG59"/>
    <mergeCell ref="AH58:AI59"/>
    <mergeCell ref="E59:K59"/>
    <mergeCell ref="C56:D59"/>
    <mergeCell ref="E56:K56"/>
    <mergeCell ref="L56:M57"/>
    <mergeCell ref="N56:O57"/>
    <mergeCell ref="P56:Q57"/>
    <mergeCell ref="R56:S57"/>
    <mergeCell ref="T56:U57"/>
    <mergeCell ref="V56:W57"/>
    <mergeCell ref="X56:Y57"/>
    <mergeCell ref="AH53:AI55"/>
    <mergeCell ref="E54:K54"/>
    <mergeCell ref="L54:O54"/>
    <mergeCell ref="P54:S54"/>
    <mergeCell ref="E55:K55"/>
    <mergeCell ref="L55:M55"/>
    <mergeCell ref="N55:O55"/>
    <mergeCell ref="P55:Q55"/>
    <mergeCell ref="R55:S55"/>
    <mergeCell ref="E53:K53"/>
    <mergeCell ref="L53:S53"/>
    <mergeCell ref="T53:U55"/>
    <mergeCell ref="V53:W55"/>
    <mergeCell ref="X53:Y55"/>
    <mergeCell ref="Z53:AA55"/>
    <mergeCell ref="AB53:AC55"/>
    <mergeCell ref="AD53:AE55"/>
    <mergeCell ref="AF53:AG55"/>
    <mergeCell ref="Z49:AA50"/>
    <mergeCell ref="AB49:AC50"/>
    <mergeCell ref="AD49:AE50"/>
    <mergeCell ref="AF49:AG50"/>
    <mergeCell ref="AH49:AI50"/>
    <mergeCell ref="E50:K50"/>
    <mergeCell ref="E51:K51"/>
    <mergeCell ref="L51:M52"/>
    <mergeCell ref="N51:O52"/>
    <mergeCell ref="P51:Q52"/>
    <mergeCell ref="R51:S52"/>
    <mergeCell ref="T51:U52"/>
    <mergeCell ref="V51:W52"/>
    <mergeCell ref="X51:Y52"/>
    <mergeCell ref="Z51:AA52"/>
    <mergeCell ref="AB51:AC52"/>
    <mergeCell ref="AD51:AE52"/>
    <mergeCell ref="AF51:AG52"/>
    <mergeCell ref="AH51:AI52"/>
    <mergeCell ref="E52:K52"/>
    <mergeCell ref="Z46:AA48"/>
    <mergeCell ref="AB46:AC48"/>
    <mergeCell ref="AD46:AE48"/>
    <mergeCell ref="AF46:AG48"/>
    <mergeCell ref="AH46:AI48"/>
    <mergeCell ref="L47:O47"/>
    <mergeCell ref="P47:S47"/>
    <mergeCell ref="L48:M48"/>
    <mergeCell ref="N48:O48"/>
    <mergeCell ref="P48:Q48"/>
    <mergeCell ref="R48:S48"/>
    <mergeCell ref="E47:K47"/>
    <mergeCell ref="E48:K48"/>
    <mergeCell ref="E49:K49"/>
    <mergeCell ref="L46:S46"/>
    <mergeCell ref="T46:U48"/>
    <mergeCell ref="V46:W48"/>
    <mergeCell ref="X46:Y48"/>
    <mergeCell ref="E46:K46"/>
    <mergeCell ref="C49:D52"/>
    <mergeCell ref="L49:M50"/>
    <mergeCell ref="N49:O50"/>
    <mergeCell ref="P49:Q50"/>
    <mergeCell ref="R49:S50"/>
    <mergeCell ref="T49:U50"/>
    <mergeCell ref="V49:W50"/>
    <mergeCell ref="X49:Y50"/>
    <mergeCell ref="AH44:AI45"/>
    <mergeCell ref="E45:K45"/>
    <mergeCell ref="E44:K44"/>
    <mergeCell ref="T44:U45"/>
    <mergeCell ref="C42:D45"/>
    <mergeCell ref="L42:M43"/>
    <mergeCell ref="N42:O43"/>
    <mergeCell ref="P42:Q43"/>
    <mergeCell ref="R42:S43"/>
    <mergeCell ref="L44:M45"/>
    <mergeCell ref="N44:O45"/>
    <mergeCell ref="P44:Q45"/>
    <mergeCell ref="R44:S45"/>
    <mergeCell ref="AH42:AI43"/>
    <mergeCell ref="E43:K43"/>
    <mergeCell ref="V44:W45"/>
    <mergeCell ref="X44:Y45"/>
    <mergeCell ref="Z44:AA45"/>
    <mergeCell ref="AB44:AC45"/>
    <mergeCell ref="AD44:AE45"/>
    <mergeCell ref="AF44:AG45"/>
    <mergeCell ref="Z42:AA43"/>
    <mergeCell ref="AB42:AC43"/>
    <mergeCell ref="AD42:AE43"/>
    <mergeCell ref="AF42:AG43"/>
    <mergeCell ref="E38:K38"/>
    <mergeCell ref="L38:S38"/>
    <mergeCell ref="T38:AI38"/>
    <mergeCell ref="E39:K39"/>
    <mergeCell ref="L39:S39"/>
    <mergeCell ref="T39:U41"/>
    <mergeCell ref="V39:W41"/>
    <mergeCell ref="X39:Y41"/>
    <mergeCell ref="Z39:AA41"/>
    <mergeCell ref="AB39:AC41"/>
    <mergeCell ref="AD39:AE41"/>
    <mergeCell ref="AF39:AG41"/>
    <mergeCell ref="AH39:AI41"/>
    <mergeCell ref="E40:K40"/>
    <mergeCell ref="L40:O40"/>
    <mergeCell ref="P40:S40"/>
    <mergeCell ref="E41:K41"/>
    <mergeCell ref="L41:M41"/>
    <mergeCell ref="N41:O41"/>
    <mergeCell ref="P41:Q41"/>
    <mergeCell ref="R41:S41"/>
    <mergeCell ref="AU56:AV57"/>
    <mergeCell ref="AU58:AV59"/>
    <mergeCell ref="AU63:AV64"/>
    <mergeCell ref="AU65:AV66"/>
    <mergeCell ref="G6:O6"/>
    <mergeCell ref="Y6:AI6"/>
    <mergeCell ref="B2:AJ3"/>
    <mergeCell ref="Y4:AI4"/>
    <mergeCell ref="Y5:AI5"/>
    <mergeCell ref="G5:O5"/>
    <mergeCell ref="G4:O4"/>
    <mergeCell ref="G7:O7"/>
    <mergeCell ref="Y7:AI7"/>
    <mergeCell ref="D33:AH33"/>
    <mergeCell ref="E42:K42"/>
    <mergeCell ref="T42:U43"/>
    <mergeCell ref="V42:W43"/>
    <mergeCell ref="G9:Q9"/>
    <mergeCell ref="G10:Q10"/>
    <mergeCell ref="AH9:AI9"/>
    <mergeCell ref="D29:AC31"/>
    <mergeCell ref="C28:AD28"/>
    <mergeCell ref="D24:Y25"/>
    <mergeCell ref="X42:Y43"/>
  </mergeCells>
  <conditionalFormatting sqref="AD14">
    <cfRule type="expression" dxfId="61" priority="31">
      <formula>$AN$14=0</formula>
    </cfRule>
  </conditionalFormatting>
  <conditionalFormatting sqref="AG14">
    <cfRule type="expression" dxfId="60" priority="30">
      <formula>$AN$14=1</formula>
    </cfRule>
  </conditionalFormatting>
  <conditionalFormatting sqref="AD16">
    <cfRule type="expression" dxfId="59" priority="29">
      <formula>$AN$16=0</formula>
    </cfRule>
  </conditionalFormatting>
  <conditionalFormatting sqref="AG16">
    <cfRule type="expression" dxfId="58" priority="28">
      <formula>$AN$16=1</formula>
    </cfRule>
  </conditionalFormatting>
  <conditionalFormatting sqref="AD18">
    <cfRule type="expression" dxfId="57" priority="27">
      <formula>$AN$18=0</formula>
    </cfRule>
  </conditionalFormatting>
  <conditionalFormatting sqref="AG18">
    <cfRule type="expression" dxfId="56" priority="26">
      <formula>$AN$18=1</formula>
    </cfRule>
  </conditionalFormatting>
  <conditionalFormatting sqref="L42:S43">
    <cfRule type="cellIs" dxfId="55" priority="25" operator="equal">
      <formula>$AN$42</formula>
    </cfRule>
  </conditionalFormatting>
  <conditionalFormatting sqref="T42:AI43">
    <cfRule type="cellIs" dxfId="54" priority="24" operator="greaterThanOrEqual">
      <formula>$AN$42</formula>
    </cfRule>
  </conditionalFormatting>
  <conditionalFormatting sqref="L44:S45">
    <cfRule type="cellIs" dxfId="53" priority="23" operator="equal">
      <formula>$AN$44</formula>
    </cfRule>
  </conditionalFormatting>
  <conditionalFormatting sqref="T44:AI45">
    <cfRule type="cellIs" dxfId="52" priority="22" operator="greaterThanOrEqual">
      <formula>$AN$44</formula>
    </cfRule>
  </conditionalFormatting>
  <conditionalFormatting sqref="L56:S57">
    <cfRule type="cellIs" dxfId="51" priority="21" operator="equal">
      <formula>$AN$56</formula>
    </cfRule>
  </conditionalFormatting>
  <conditionalFormatting sqref="T56 X56 V56 AH56 AF56 AD56 AB56 Z56">
    <cfRule type="cellIs" dxfId="50" priority="20" operator="greaterThanOrEqual">
      <formula>$AN$56</formula>
    </cfRule>
  </conditionalFormatting>
  <conditionalFormatting sqref="L58:S59">
    <cfRule type="cellIs" dxfId="49" priority="19" operator="equal">
      <formula>$AN$58</formula>
    </cfRule>
  </conditionalFormatting>
  <conditionalFormatting sqref="AH58 AF58 AD58 AB58 Z58 X58 V58 T58">
    <cfRule type="cellIs" dxfId="48" priority="18" operator="greaterThanOrEqual">
      <formula>$AN$58</formula>
    </cfRule>
  </conditionalFormatting>
  <conditionalFormatting sqref="AD36">
    <cfRule type="expression" dxfId="47" priority="17">
      <formula>$AN$36&lt;&gt;1</formula>
    </cfRule>
  </conditionalFormatting>
  <conditionalFormatting sqref="AG36">
    <cfRule type="expression" dxfId="46" priority="16">
      <formula>$AN$36&lt;&gt;0</formula>
    </cfRule>
  </conditionalFormatting>
  <conditionalFormatting sqref="AD34">
    <cfRule type="expression" dxfId="45" priority="15">
      <formula>$AN$34=0</formula>
    </cfRule>
  </conditionalFormatting>
  <conditionalFormatting sqref="AG34">
    <cfRule type="expression" dxfId="44" priority="14">
      <formula>$AN$34=1</formula>
    </cfRule>
  </conditionalFormatting>
  <conditionalFormatting sqref="L49:S50">
    <cfRule type="cellIs" dxfId="43" priority="13" operator="equal">
      <formula>$AN$49</formula>
    </cfRule>
  </conditionalFormatting>
  <conditionalFormatting sqref="L51:S52">
    <cfRule type="cellIs" dxfId="42" priority="12" operator="equal">
      <formula>$AN$51</formula>
    </cfRule>
  </conditionalFormatting>
  <conditionalFormatting sqref="T49 X49 V49 AH49 AF49 AD49 AB49 Z49">
    <cfRule type="cellIs" dxfId="41" priority="11" operator="greaterThanOrEqual">
      <formula>$AN$49</formula>
    </cfRule>
  </conditionalFormatting>
  <conditionalFormatting sqref="AH51 AF51 AD51 AB51 Z51 X51 V51 T51">
    <cfRule type="cellIs" dxfId="40" priority="10" operator="greaterThanOrEqual">
      <formula>$AN$51</formula>
    </cfRule>
  </conditionalFormatting>
  <conditionalFormatting sqref="L63:S64">
    <cfRule type="cellIs" dxfId="39" priority="9" operator="equal">
      <formula>$AN$63</formula>
    </cfRule>
  </conditionalFormatting>
  <conditionalFormatting sqref="L65:S66">
    <cfRule type="cellIs" dxfId="38" priority="8" operator="equal">
      <formula>$AN$65</formula>
    </cfRule>
  </conditionalFormatting>
  <conditionalFormatting sqref="T63:AI64">
    <cfRule type="cellIs" dxfId="37" priority="7" operator="greaterThanOrEqual">
      <formula>$AN$63</formula>
    </cfRule>
  </conditionalFormatting>
  <conditionalFormatting sqref="T65:AI66">
    <cfRule type="cellIs" dxfId="36" priority="6" operator="greaterThanOrEqual">
      <formula>$AN$65</formula>
    </cfRule>
  </conditionalFormatting>
  <conditionalFormatting sqref="AD23">
    <cfRule type="expression" dxfId="35" priority="5">
      <formula>$AN$23=0</formula>
    </cfRule>
  </conditionalFormatting>
  <conditionalFormatting sqref="AG23">
    <cfRule type="expression" dxfId="34" priority="4">
      <formula>$AN$23=1</formula>
    </cfRule>
  </conditionalFormatting>
  <conditionalFormatting sqref="AG27">
    <cfRule type="expression" dxfId="33" priority="3">
      <formula>$AN$27&lt;&gt;0</formula>
    </cfRule>
  </conditionalFormatting>
  <conditionalFormatting sqref="AD27">
    <cfRule type="expression" dxfId="32" priority="2">
      <formula>$AN$27&lt;&gt;1</formula>
    </cfRule>
  </conditionalFormatting>
  <conditionalFormatting sqref="AG16">
    <cfRule type="expression" dxfId="31" priority="1">
      <formula>$AN$14=1</formula>
    </cfRule>
  </conditionalFormatting>
  <pageMargins left="0.5" right="0.25" top="0.25" bottom="0.5" header="0.3" footer="0.35"/>
  <pageSetup orientation="portrait" r:id="rId1"/>
  <headerFooter>
    <oddFooter>&amp;L&amp;"Arial,Italic"&amp;8Based on MUTCD 2009
Page 1 of 7&amp;C&amp;"Arial,Bold"&amp;8&amp;UNOTE:&amp;"Arial,Italic"&amp;U  The satisfaction of a warrant or warrants shall not in 
itself require the installation of a traffic control signal&amp;R&amp;"Arial,Italic"&amp;8rev. 05/2011</oddFooter>
  </headerFooter>
</worksheet>
</file>

<file path=xl/worksheets/sheet10.xml><?xml version="1.0" encoding="utf-8"?>
<worksheet xmlns="http://schemas.openxmlformats.org/spreadsheetml/2006/main" xmlns:r="http://schemas.openxmlformats.org/officeDocument/2006/relationships">
  <sheetPr codeName="Sheet8">
    <tabColor rgb="FFFFFF00"/>
  </sheetPr>
  <dimension ref="A1:AD155"/>
  <sheetViews>
    <sheetView topLeftCell="L7" workbookViewId="0">
      <selection activeCell="V26" sqref="V26:V145"/>
    </sheetView>
  </sheetViews>
  <sheetFormatPr defaultRowHeight="15"/>
  <cols>
    <col min="15" max="15" width="4.7109375" customWidth="1"/>
    <col min="23" max="23" width="4.7109375" customWidth="1"/>
  </cols>
  <sheetData>
    <row r="1" spans="1:30" ht="15.75">
      <c r="A1" s="1173" t="s">
        <v>96</v>
      </c>
      <c r="B1" s="1173"/>
      <c r="C1" s="1173"/>
      <c r="D1" s="1173"/>
      <c r="E1" s="1173"/>
      <c r="F1" s="1173"/>
      <c r="G1" s="1173"/>
      <c r="H1" s="1173"/>
      <c r="I1" s="1173"/>
      <c r="J1" s="1173"/>
      <c r="K1" s="1173"/>
      <c r="L1" s="1173"/>
      <c r="M1" s="1173"/>
      <c r="N1" s="1173"/>
      <c r="O1" s="102"/>
      <c r="P1" s="1170" t="s">
        <v>100</v>
      </c>
      <c r="Q1" s="1171"/>
      <c r="R1" s="1171"/>
      <c r="S1" s="1171"/>
      <c r="T1" s="1172"/>
      <c r="U1" s="475"/>
      <c r="V1" s="475"/>
      <c r="W1" s="98"/>
      <c r="X1" s="1170" t="s">
        <v>101</v>
      </c>
      <c r="Y1" s="1171"/>
      <c r="Z1" s="1171"/>
      <c r="AA1" s="1171"/>
      <c r="AB1" s="1172"/>
    </row>
    <row r="2" spans="1:30">
      <c r="A2" s="1184" t="s">
        <v>97</v>
      </c>
      <c r="B2" s="1184"/>
      <c r="C2" s="1184"/>
      <c r="D2" s="1184"/>
      <c r="E2" s="151"/>
      <c r="F2" s="1184" t="s">
        <v>98</v>
      </c>
      <c r="G2" s="1184"/>
      <c r="H2" s="1184"/>
      <c r="I2" s="1184"/>
      <c r="J2" s="151"/>
      <c r="K2" s="1184" t="s">
        <v>99</v>
      </c>
      <c r="L2" s="1184"/>
      <c r="M2" s="1184"/>
      <c r="N2" s="1184"/>
      <c r="O2" s="102"/>
      <c r="P2" s="101" t="s">
        <v>69</v>
      </c>
      <c r="Q2" s="101" t="s">
        <v>70</v>
      </c>
      <c r="R2" s="173" t="s">
        <v>70</v>
      </c>
      <c r="S2" s="173" t="s">
        <v>71</v>
      </c>
      <c r="T2" s="101" t="s">
        <v>71</v>
      </c>
      <c r="U2" s="476"/>
      <c r="V2" s="476"/>
      <c r="W2" s="98"/>
      <c r="X2" s="101" t="s">
        <v>69</v>
      </c>
      <c r="Y2" s="101" t="s">
        <v>70</v>
      </c>
      <c r="Z2" s="101" t="s">
        <v>71</v>
      </c>
      <c r="AA2" s="101" t="s">
        <v>70</v>
      </c>
      <c r="AB2" s="101" t="s">
        <v>71</v>
      </c>
    </row>
    <row r="3" spans="1:30">
      <c r="A3" s="1183">
        <v>1</v>
      </c>
      <c r="B3" s="1183"/>
      <c r="C3" s="1182"/>
      <c r="D3" s="1182"/>
      <c r="E3" s="151"/>
      <c r="F3" s="1183">
        <v>1</v>
      </c>
      <c r="G3" s="1183"/>
      <c r="H3" s="1182"/>
      <c r="I3" s="1182"/>
      <c r="J3" s="151"/>
      <c r="K3" s="1183">
        <v>1</v>
      </c>
      <c r="L3" s="1183"/>
      <c r="M3" s="1182"/>
      <c r="N3" s="1182"/>
      <c r="O3" s="102"/>
      <c r="P3" s="101" t="s">
        <v>6</v>
      </c>
      <c r="Q3" s="101" t="s">
        <v>70</v>
      </c>
      <c r="R3" s="173" t="s">
        <v>71</v>
      </c>
      <c r="S3" s="173" t="s">
        <v>70</v>
      </c>
      <c r="T3" s="101" t="s">
        <v>71</v>
      </c>
      <c r="U3" s="476"/>
      <c r="V3" s="476"/>
      <c r="W3" s="98"/>
      <c r="X3" s="101" t="s">
        <v>6</v>
      </c>
      <c r="Y3" s="101" t="s">
        <v>70</v>
      </c>
      <c r="Z3" s="101" t="s">
        <v>70</v>
      </c>
      <c r="AA3" s="101" t="s">
        <v>71</v>
      </c>
      <c r="AB3" s="101" t="s">
        <v>71</v>
      </c>
    </row>
    <row r="4" spans="1:30">
      <c r="A4" s="151"/>
      <c r="B4" s="1179">
        <v>8.4947020999999994E-11</v>
      </c>
      <c r="C4" s="1179"/>
      <c r="D4" s="152"/>
      <c r="E4" s="151"/>
      <c r="F4" s="151"/>
      <c r="G4" s="1179">
        <v>4.4833529999999997E-11</v>
      </c>
      <c r="H4" s="1179"/>
      <c r="I4" s="152"/>
      <c r="J4" s="151"/>
      <c r="K4" s="151"/>
      <c r="L4" s="1179">
        <v>1.0603061E-10</v>
      </c>
      <c r="M4" s="1179"/>
      <c r="N4" s="152"/>
      <c r="O4" s="102"/>
      <c r="P4" s="101" t="s">
        <v>26</v>
      </c>
      <c r="Q4" s="101" t="s">
        <v>72</v>
      </c>
      <c r="R4" s="101" t="s">
        <v>73</v>
      </c>
      <c r="S4" s="101" t="s">
        <v>74</v>
      </c>
      <c r="T4" s="101" t="s">
        <v>75</v>
      </c>
      <c r="U4" s="476"/>
      <c r="V4" s="476"/>
      <c r="W4" s="98"/>
      <c r="X4" s="101" t="s">
        <v>26</v>
      </c>
      <c r="Y4" s="101" t="s">
        <v>72</v>
      </c>
      <c r="Z4" s="101" t="s">
        <v>73</v>
      </c>
      <c r="AA4" s="101" t="s">
        <v>74</v>
      </c>
      <c r="AB4" s="101" t="s">
        <v>75</v>
      </c>
    </row>
    <row r="5" spans="1:30">
      <c r="A5" s="151"/>
      <c r="B5" s="1179">
        <v>3.9373909999999999E-7</v>
      </c>
      <c r="C5" s="1179"/>
      <c r="D5" s="152"/>
      <c r="E5" s="151"/>
      <c r="F5" s="151"/>
      <c r="G5" s="1179">
        <v>1.9906013999999999E-7</v>
      </c>
      <c r="H5" s="1179"/>
      <c r="I5" s="153"/>
      <c r="J5" s="151"/>
      <c r="K5" s="151"/>
      <c r="L5" s="1179">
        <v>5.3409791000000004E-7</v>
      </c>
      <c r="M5" s="1179"/>
      <c r="N5" s="153"/>
      <c r="O5" s="100"/>
      <c r="P5" s="157">
        <v>400</v>
      </c>
      <c r="Q5" s="161"/>
      <c r="R5" s="161"/>
      <c r="S5" s="161"/>
      <c r="T5" s="161"/>
      <c r="U5" s="480"/>
      <c r="V5" s="480"/>
      <c r="W5" s="98"/>
      <c r="X5" s="157">
        <v>300</v>
      </c>
      <c r="Y5" s="103"/>
      <c r="Z5" s="103"/>
      <c r="AA5" s="103"/>
      <c r="AB5" s="103"/>
    </row>
    <row r="6" spans="1:30">
      <c r="A6" s="151"/>
      <c r="B6" s="1179">
        <v>4.2523198000000002E-4</v>
      </c>
      <c r="C6" s="1179"/>
      <c r="D6" s="152"/>
      <c r="E6" s="151"/>
      <c r="F6" s="151"/>
      <c r="G6" s="1179">
        <v>1.3645844999999999E-4</v>
      </c>
      <c r="H6" s="1179"/>
      <c r="I6" s="152"/>
      <c r="J6" s="151"/>
      <c r="K6" s="151"/>
      <c r="L6" s="1179">
        <v>7.4546013E-4</v>
      </c>
      <c r="M6" s="1179"/>
      <c r="N6" s="152"/>
      <c r="O6" s="100"/>
      <c r="P6" s="157">
        <f t="shared" ref="P6:P10" si="0">P5+10</f>
        <v>410</v>
      </c>
      <c r="Q6" s="161"/>
      <c r="R6" s="161"/>
      <c r="S6" s="161"/>
      <c r="T6" s="161"/>
      <c r="U6" s="480"/>
      <c r="V6" s="480"/>
      <c r="W6" s="99"/>
      <c r="X6" s="157">
        <f t="shared" ref="X6:X70" si="1">X5+10</f>
        <v>310</v>
      </c>
      <c r="Y6" s="103"/>
      <c r="Z6" s="103"/>
      <c r="AA6" s="103"/>
      <c r="AB6" s="103"/>
    </row>
    <row r="7" spans="1:30">
      <c r="A7" s="151"/>
      <c r="B7" s="1180">
        <v>0.3218298</v>
      </c>
      <c r="C7" s="1180"/>
      <c r="D7" s="154"/>
      <c r="E7" s="151"/>
      <c r="F7" s="151"/>
      <c r="G7" s="1180">
        <v>0.52728770000000003</v>
      </c>
      <c r="H7" s="1180"/>
      <c r="I7" s="152"/>
      <c r="J7" s="151"/>
      <c r="K7" s="151"/>
      <c r="L7" s="1180">
        <v>0.18257370000000001</v>
      </c>
      <c r="M7" s="1180"/>
      <c r="N7" s="152"/>
      <c r="O7" s="100"/>
      <c r="P7" s="157">
        <f t="shared" si="0"/>
        <v>420</v>
      </c>
      <c r="Q7" s="161"/>
      <c r="R7" s="161"/>
      <c r="S7" s="161"/>
      <c r="T7" s="161"/>
      <c r="U7" s="480"/>
      <c r="V7" s="480"/>
      <c r="W7" s="99"/>
      <c r="X7" s="157">
        <f t="shared" si="1"/>
        <v>320</v>
      </c>
      <c r="Y7" s="103"/>
      <c r="Z7" s="103"/>
      <c r="AA7" s="103"/>
      <c r="AB7" s="158">
        <f>ROUND(IF(X7&gt;=1050,75,($B$12*X7^4)-($B$13*X7^3)+($B$14*X7^2)-($B$15*X7)+$B$16),2)</f>
        <v>310.05</v>
      </c>
      <c r="AC7" s="479">
        <f>IF($B$33+$C$33=4,X$17,IF($B$33=2,X$11,IF($B$33+$C$33=3,X$11,X7)))</f>
        <v>360</v>
      </c>
      <c r="AD7" s="478">
        <f>IF($B$33+$C$33=4,Y$17,IF($B$33=2,AA$11,IF($B$33+$C$33=3,Z$11,AB7)))</f>
        <v>352.14</v>
      </c>
    </row>
    <row r="8" spans="1:30">
      <c r="A8" s="151"/>
      <c r="B8" s="1180">
        <v>644.35190009999997</v>
      </c>
      <c r="C8" s="1180"/>
      <c r="D8" s="154"/>
      <c r="E8" s="151"/>
      <c r="F8" s="151"/>
      <c r="G8" s="1180">
        <v>795.60681980000004</v>
      </c>
      <c r="H8" s="1180"/>
      <c r="I8" s="154"/>
      <c r="J8" s="151"/>
      <c r="K8" s="151"/>
      <c r="L8" s="1180">
        <v>874.44115629999999</v>
      </c>
      <c r="M8" s="1180"/>
      <c r="N8" s="154"/>
      <c r="O8" s="100"/>
      <c r="P8" s="157">
        <f t="shared" si="0"/>
        <v>430</v>
      </c>
      <c r="Q8" s="161"/>
      <c r="R8" s="161"/>
      <c r="S8" s="161"/>
      <c r="T8" s="161"/>
      <c r="U8" s="480"/>
      <c r="V8" s="480"/>
      <c r="W8" s="99"/>
      <c r="X8" s="157">
        <f t="shared" si="1"/>
        <v>330</v>
      </c>
      <c r="Y8" s="103"/>
      <c r="Z8" s="103"/>
      <c r="AA8" s="103"/>
      <c r="AB8" s="158">
        <f t="shared" ref="AB8:AB16" si="2">ROUND(IF(X8&gt;=1050,75,($B$12*X8^4)-($B$13*X8^3)+($B$14*X8^2)-($B$15*X8)+$B$16),2)</f>
        <v>304.72000000000003</v>
      </c>
      <c r="AC8" s="479">
        <f t="shared" ref="AC8:AC10" si="3">IF($B$33+$C$33=4,X$17,IF($B$33=2,X$11,IF($B$33+$C$33=3,X$11,X8)))</f>
        <v>360</v>
      </c>
      <c r="AD8" s="478">
        <f t="shared" ref="AD8:AD10" si="4">IF($B$33+$C$33=4,Y$17,IF($B$33=2,AA$11,IF($B$33+$C$33=3,Z$11,AB8)))</f>
        <v>352.14</v>
      </c>
    </row>
    <row r="9" spans="1:30">
      <c r="A9" s="151"/>
      <c r="B9" s="151"/>
      <c r="C9" s="151"/>
      <c r="D9" s="151"/>
      <c r="E9" s="151"/>
      <c r="F9" s="151"/>
      <c r="G9" s="151"/>
      <c r="H9" s="154"/>
      <c r="I9" s="154"/>
      <c r="J9" s="151"/>
      <c r="K9" s="151"/>
      <c r="L9" s="151"/>
      <c r="M9" s="154"/>
      <c r="N9" s="154"/>
      <c r="O9" s="100"/>
      <c r="P9" s="157">
        <f t="shared" si="0"/>
        <v>440</v>
      </c>
      <c r="Q9" s="161"/>
      <c r="R9" s="161"/>
      <c r="S9" s="161"/>
      <c r="T9" s="161"/>
      <c r="U9" s="480"/>
      <c r="V9" s="480"/>
      <c r="W9" s="99"/>
      <c r="X9" s="157">
        <f t="shared" si="1"/>
        <v>340</v>
      </c>
      <c r="Y9" s="103"/>
      <c r="Z9" s="103"/>
      <c r="AA9" s="103"/>
      <c r="AB9" s="158">
        <f t="shared" si="2"/>
        <v>299.44</v>
      </c>
      <c r="AC9" s="479">
        <f t="shared" si="3"/>
        <v>360</v>
      </c>
      <c r="AD9" s="478">
        <f t="shared" si="4"/>
        <v>352.14</v>
      </c>
    </row>
    <row r="10" spans="1:30">
      <c r="A10" s="1181" t="s">
        <v>97</v>
      </c>
      <c r="B10" s="1181"/>
      <c r="C10" s="1181"/>
      <c r="D10" s="1181"/>
      <c r="E10" s="155"/>
      <c r="F10" s="1181" t="s">
        <v>98</v>
      </c>
      <c r="G10" s="1181"/>
      <c r="H10" s="1181"/>
      <c r="I10" s="1181"/>
      <c r="J10" s="155"/>
      <c r="K10" s="1181" t="s">
        <v>99</v>
      </c>
      <c r="L10" s="1181"/>
      <c r="M10" s="1181"/>
      <c r="N10" s="1181"/>
      <c r="O10" s="100"/>
      <c r="P10" s="157">
        <f t="shared" si="0"/>
        <v>450</v>
      </c>
      <c r="Q10" s="161"/>
      <c r="R10" s="161"/>
      <c r="S10" s="161"/>
      <c r="T10" s="161">
        <f>ROUND(IF(P10&gt;1547,100,-($B$4*P10^4)+($B$5*P10^3)-($B$6*P10^2)-($B$7*P10)+$B$8),2)</f>
        <v>445.82</v>
      </c>
      <c r="U10" s="479">
        <f>IF($B$33+$C$33=4,P$25,IF($B$33=2,P$16,IF($B$33+$C$33=3,P$16,P10)))</f>
        <v>510</v>
      </c>
      <c r="V10" s="478">
        <f>IF($B$33+$C$33=4,Q$25,IF($B$33=2,R$16,IF($B$33+$C$33=3,S$16,T10)))</f>
        <v>514.57000000000005</v>
      </c>
      <c r="W10" s="99"/>
      <c r="X10" s="157">
        <f t="shared" si="1"/>
        <v>350</v>
      </c>
      <c r="Y10" s="159"/>
      <c r="Z10" s="159"/>
      <c r="AA10" s="159"/>
      <c r="AB10" s="158">
        <f t="shared" si="2"/>
        <v>294.20999999999998</v>
      </c>
      <c r="AC10" s="479">
        <f t="shared" si="3"/>
        <v>360</v>
      </c>
      <c r="AD10" s="478">
        <f t="shared" si="4"/>
        <v>352.14</v>
      </c>
    </row>
    <row r="11" spans="1:30">
      <c r="A11" s="1182" t="s">
        <v>67</v>
      </c>
      <c r="B11" s="1182"/>
      <c r="C11" s="1182"/>
      <c r="D11" s="1182"/>
      <c r="E11" s="151"/>
      <c r="F11" s="1182" t="s">
        <v>67</v>
      </c>
      <c r="G11" s="1182"/>
      <c r="H11" s="1182"/>
      <c r="I11" s="1182"/>
      <c r="J11" s="151"/>
      <c r="K11" s="1182" t="s">
        <v>67</v>
      </c>
      <c r="L11" s="1182"/>
      <c r="M11" s="1182"/>
      <c r="N11" s="1182"/>
      <c r="O11" s="100"/>
      <c r="P11" s="157">
        <f t="shared" ref="P11:P69" si="5">P10+10</f>
        <v>460</v>
      </c>
      <c r="Q11" s="161"/>
      <c r="R11" s="161"/>
      <c r="S11" s="161"/>
      <c r="T11" s="161">
        <f t="shared" ref="T11:T24" si="6">ROUND(IF(P11&gt;1547,100,-($B$4*P11^4)+($B$5*P11^3)-($B$6*P11^2)-($B$7*P11)+$B$8),2)</f>
        <v>440.85</v>
      </c>
      <c r="U11" s="479">
        <f t="shared" ref="U11:U15" si="7">IF($B$33+$C$33=4,P$25,IF($B$33=2,P$16,IF($B$33+$C$33=3,P$16,P11)))</f>
        <v>510</v>
      </c>
      <c r="V11" s="478">
        <f t="shared" ref="V11:V15" si="8">IF($B$33+$C$33=4,Q$25,IF($B$33=2,R$16,IF($B$33+$C$33=3,S$16,T11)))</f>
        <v>514.57000000000005</v>
      </c>
      <c r="W11" s="99"/>
      <c r="X11" s="157">
        <f t="shared" si="1"/>
        <v>360</v>
      </c>
      <c r="Y11" s="160"/>
      <c r="Z11" s="158">
        <f>ROUND(IF(X11&gt;=1050,100,-($G$12*X11^4)+($G$13*X11^3)-($G$14*X11^2)-($G$15*X11)+$G$16),2)</f>
        <v>352.14</v>
      </c>
      <c r="AA11" s="158">
        <f>ROUND(IF(X11&gt;1230,75,-($G$12*X11^4)+($G$13*X11^3)-($G$14*X11^2)-($G$15*X11)+$G$16),2)</f>
        <v>352.14</v>
      </c>
      <c r="AB11" s="158">
        <f t="shared" si="2"/>
        <v>289.04000000000002</v>
      </c>
      <c r="AC11" s="479">
        <f>IF($B$33+$C$33=4,X$17,X11)</f>
        <v>360</v>
      </c>
      <c r="AD11" s="478">
        <f>IF($B$33+$C$33=4,Y$17,IF($B$33=2,AA11,IF($B$33+$C$33=3,Z11,AB11)))</f>
        <v>352.14</v>
      </c>
    </row>
    <row r="12" spans="1:30">
      <c r="A12" s="151"/>
      <c r="B12" s="1179">
        <v>1.6157263999999999E-10</v>
      </c>
      <c r="C12" s="1179"/>
      <c r="D12" s="152"/>
      <c r="E12" s="156"/>
      <c r="F12" s="151"/>
      <c r="G12" s="1179">
        <v>2.0477186E-10</v>
      </c>
      <c r="H12" s="1179"/>
      <c r="I12" s="156"/>
      <c r="J12" s="151"/>
      <c r="K12" s="152"/>
      <c r="L12" s="1179">
        <v>4.2266359999999999E-11</v>
      </c>
      <c r="M12" s="1179"/>
      <c r="N12" s="151"/>
      <c r="O12" s="100"/>
      <c r="P12" s="157">
        <f t="shared" si="5"/>
        <v>470</v>
      </c>
      <c r="Q12" s="161"/>
      <c r="R12" s="161"/>
      <c r="S12" s="161"/>
      <c r="T12" s="161">
        <f t="shared" si="6"/>
        <v>435.89</v>
      </c>
      <c r="U12" s="479">
        <f t="shared" si="7"/>
        <v>510</v>
      </c>
      <c r="V12" s="478">
        <f t="shared" si="8"/>
        <v>514.57000000000005</v>
      </c>
      <c r="W12" s="99"/>
      <c r="X12" s="157">
        <f t="shared" si="1"/>
        <v>370</v>
      </c>
      <c r="Y12" s="160"/>
      <c r="Z12" s="158">
        <f t="shared" ref="Z12:Z16" si="9">ROUND(IF(X12&gt;=1050,100,-($G$12*X12^4)+($G$13*X12^3)-($G$14*X12^2)-($G$15*X12)+$G$16),2)</f>
        <v>347.34</v>
      </c>
      <c r="AA12" s="158">
        <f t="shared" ref="AA12:AA16" si="10">ROUND(IF(X12&gt;1230,75,-($G$12*X12^4)+($G$13*X12^3)-($G$14*X12^2)-($G$15*X12)+$G$16),2)</f>
        <v>347.34</v>
      </c>
      <c r="AB12" s="158">
        <f t="shared" si="2"/>
        <v>283.92</v>
      </c>
      <c r="AC12" s="479">
        <f t="shared" ref="AC12:AC16" si="11">IF($B$33+$C$33=4,X$17,X12)</f>
        <v>370</v>
      </c>
      <c r="AD12" s="478">
        <f t="shared" ref="AD12:AD16" si="12">IF($B$33+$C$33=4,Y$17,IF($B$33=2,AA12,IF($B$33+$C$33=3,Z12,AB12)))</f>
        <v>347.34</v>
      </c>
    </row>
    <row r="13" spans="1:30">
      <c r="A13" s="151"/>
      <c r="B13" s="1179">
        <v>2.9461897999999998E-7</v>
      </c>
      <c r="C13" s="1179"/>
      <c r="D13" s="152"/>
      <c r="E13" s="156"/>
      <c r="F13" s="151"/>
      <c r="G13" s="1179">
        <v>7.3984642999999996E-7</v>
      </c>
      <c r="H13" s="1179"/>
      <c r="I13" s="156"/>
      <c r="J13" s="151"/>
      <c r="K13" s="152"/>
      <c r="L13" s="1179">
        <v>1.155853E-7</v>
      </c>
      <c r="M13" s="1179"/>
      <c r="N13" s="151"/>
      <c r="O13" s="100"/>
      <c r="P13" s="157">
        <f t="shared" si="5"/>
        <v>480</v>
      </c>
      <c r="Q13" s="161"/>
      <c r="R13" s="161"/>
      <c r="S13" s="161"/>
      <c r="T13" s="161">
        <f t="shared" si="6"/>
        <v>430.94</v>
      </c>
      <c r="U13" s="479">
        <f t="shared" si="7"/>
        <v>510</v>
      </c>
      <c r="V13" s="478">
        <f t="shared" si="8"/>
        <v>514.57000000000005</v>
      </c>
      <c r="W13" s="99"/>
      <c r="X13" s="157">
        <f t="shared" si="1"/>
        <v>380</v>
      </c>
      <c r="Y13" s="160"/>
      <c r="Z13" s="158">
        <f t="shared" si="9"/>
        <v>342.53</v>
      </c>
      <c r="AA13" s="158">
        <f t="shared" si="10"/>
        <v>342.53</v>
      </c>
      <c r="AB13" s="158">
        <f t="shared" si="2"/>
        <v>278.85000000000002</v>
      </c>
      <c r="AC13" s="479">
        <f t="shared" si="11"/>
        <v>380</v>
      </c>
      <c r="AD13" s="478">
        <f t="shared" si="12"/>
        <v>342.53</v>
      </c>
    </row>
    <row r="14" spans="1:30">
      <c r="A14" s="151"/>
      <c r="B14" s="1179">
        <v>4.5414936000000002E-4</v>
      </c>
      <c r="C14" s="1179"/>
      <c r="D14" s="152"/>
      <c r="E14" s="156"/>
      <c r="F14" s="151"/>
      <c r="G14" s="1179">
        <v>6.8616802000000005E-4</v>
      </c>
      <c r="H14" s="1179"/>
      <c r="I14" s="156"/>
      <c r="J14" s="151"/>
      <c r="K14" s="152"/>
      <c r="L14" s="1179">
        <v>4.6268245E-4</v>
      </c>
      <c r="M14" s="1179"/>
      <c r="N14" s="151"/>
      <c r="O14" s="100"/>
      <c r="P14" s="157">
        <f t="shared" si="5"/>
        <v>490</v>
      </c>
      <c r="Q14" s="161"/>
      <c r="R14" s="161"/>
      <c r="S14" s="161"/>
      <c r="T14" s="161">
        <f t="shared" si="6"/>
        <v>425.98</v>
      </c>
      <c r="U14" s="479">
        <f t="shared" si="7"/>
        <v>510</v>
      </c>
      <c r="V14" s="478">
        <f t="shared" si="8"/>
        <v>514.57000000000005</v>
      </c>
      <c r="W14" s="99"/>
      <c r="X14" s="157">
        <f t="shared" si="1"/>
        <v>390</v>
      </c>
      <c r="Y14" s="160"/>
      <c r="Z14" s="158">
        <f t="shared" si="9"/>
        <v>337.71</v>
      </c>
      <c r="AA14" s="158">
        <f t="shared" si="10"/>
        <v>337.71</v>
      </c>
      <c r="AB14" s="158">
        <f t="shared" si="2"/>
        <v>273.83</v>
      </c>
      <c r="AC14" s="479">
        <f t="shared" si="11"/>
        <v>390</v>
      </c>
      <c r="AD14" s="478">
        <f t="shared" si="12"/>
        <v>337.71</v>
      </c>
    </row>
    <row r="15" spans="1:30">
      <c r="A15" s="151"/>
      <c r="B15" s="1180">
        <v>0.75728620000000002</v>
      </c>
      <c r="C15" s="1180"/>
      <c r="D15" s="154"/>
      <c r="E15" s="156"/>
      <c r="F15" s="151"/>
      <c r="G15" s="1180">
        <v>0.23536650000000001</v>
      </c>
      <c r="H15" s="1180"/>
      <c r="I15" s="156"/>
      <c r="J15" s="151"/>
      <c r="K15" s="154"/>
      <c r="L15" s="1180">
        <v>1.0282969</v>
      </c>
      <c r="M15" s="1180"/>
      <c r="N15" s="151"/>
      <c r="O15" s="100"/>
      <c r="P15" s="157">
        <f t="shared" si="5"/>
        <v>500</v>
      </c>
      <c r="Q15" s="161"/>
      <c r="R15" s="161"/>
      <c r="S15" s="161"/>
      <c r="T15" s="161">
        <f t="shared" si="6"/>
        <v>421.04</v>
      </c>
      <c r="U15" s="479">
        <f t="shared" si="7"/>
        <v>510</v>
      </c>
      <c r="V15" s="478">
        <f t="shared" si="8"/>
        <v>514.57000000000005</v>
      </c>
      <c r="W15" s="99"/>
      <c r="X15" s="157">
        <f t="shared" si="1"/>
        <v>400</v>
      </c>
      <c r="Y15" s="160"/>
      <c r="Z15" s="158">
        <f t="shared" si="9"/>
        <v>332.9</v>
      </c>
      <c r="AA15" s="158">
        <f t="shared" si="10"/>
        <v>332.9</v>
      </c>
      <c r="AB15" s="158">
        <f t="shared" si="2"/>
        <v>268.87</v>
      </c>
      <c r="AC15" s="479">
        <f t="shared" si="11"/>
        <v>400</v>
      </c>
      <c r="AD15" s="478">
        <f t="shared" si="12"/>
        <v>332.9</v>
      </c>
    </row>
    <row r="16" spans="1:30">
      <c r="A16" s="151"/>
      <c r="B16" s="1180">
        <v>513.83894399999997</v>
      </c>
      <c r="C16" s="1180"/>
      <c r="D16" s="154"/>
      <c r="E16" s="156"/>
      <c r="F16" s="151"/>
      <c r="G16" s="1180">
        <v>494.72313609999998</v>
      </c>
      <c r="H16" s="1180"/>
      <c r="I16" s="156"/>
      <c r="J16" s="151"/>
      <c r="K16" s="154"/>
      <c r="L16" s="1180">
        <v>779.96712579999996</v>
      </c>
      <c r="M16" s="1180"/>
      <c r="N16" s="151"/>
      <c r="O16" s="100"/>
      <c r="P16" s="157">
        <f t="shared" si="5"/>
        <v>510</v>
      </c>
      <c r="Q16" s="161"/>
      <c r="R16" s="161">
        <f>ROUND(IF(P16&gt;1759,100,-($G$4*P16^4)+($G$5*P16^3)-($G$6*P16^2)-($G$7*P16)+$G$8),2)</f>
        <v>514.57000000000005</v>
      </c>
      <c r="S16" s="161">
        <f>ROUND(IF(P16&gt;1463,150,-($G$4*P16^4)+($G$5*P16^3)-($G$6*P16^2)-($G$7*P16)+$G$8),2)</f>
        <v>514.57000000000005</v>
      </c>
      <c r="T16" s="161">
        <f t="shared" si="6"/>
        <v>416.1</v>
      </c>
      <c r="U16" s="479">
        <f>IF($B$33+$C$33=4,P$25,P16)</f>
        <v>510</v>
      </c>
      <c r="V16" s="478">
        <f>IF($B$33+$C$33=4,Q$25,IF($B$33=2,R16,IF($B$33+$C$33=3,S16,T16)))</f>
        <v>514.57000000000005</v>
      </c>
      <c r="W16" s="99"/>
      <c r="X16" s="157">
        <f t="shared" si="1"/>
        <v>410</v>
      </c>
      <c r="Y16" s="160"/>
      <c r="Z16" s="158">
        <f t="shared" si="9"/>
        <v>328.08</v>
      </c>
      <c r="AA16" s="158">
        <f t="shared" si="10"/>
        <v>328.08</v>
      </c>
      <c r="AB16" s="158">
        <f t="shared" si="2"/>
        <v>263.95</v>
      </c>
      <c r="AC16" s="479">
        <f t="shared" si="11"/>
        <v>410</v>
      </c>
      <c r="AD16" s="478">
        <f t="shared" si="12"/>
        <v>328.08</v>
      </c>
    </row>
    <row r="17" spans="1:30">
      <c r="O17" s="100"/>
      <c r="P17" s="157">
        <f t="shared" si="5"/>
        <v>520</v>
      </c>
      <c r="Q17" s="161"/>
      <c r="R17" s="161">
        <f t="shared" ref="R17:R23" si="13">ROUND(IF(P17&gt;1759,100,-($G$4*P17^4)+($G$5*P17^3)-($G$6*P17^2)-($G$7*P17)+$G$8),2)</f>
        <v>509.23</v>
      </c>
      <c r="S17" s="161">
        <f t="shared" ref="S17:S24" si="14">ROUND(IF(P17&gt;1463,150,-($G$4*P17^4)+($G$5*P17^3)-($G$6*P17^2)-($G$7*P17)+$G$8),2)</f>
        <v>509.23</v>
      </c>
      <c r="T17" s="161">
        <f t="shared" si="6"/>
        <v>411.17</v>
      </c>
      <c r="U17" s="479">
        <f t="shared" ref="U17:U24" si="15">IF($B$33+$C$33=4,P$25,P17)</f>
        <v>520</v>
      </c>
      <c r="V17" s="478">
        <f t="shared" ref="V17:V24" si="16">IF($B$33+$C$33=4,Q$25,IF($B$33=2,R17,IF($B$33+$C$33=3,S17,T17)))</f>
        <v>509.23</v>
      </c>
      <c r="W17" s="99"/>
      <c r="X17" s="157">
        <f t="shared" si="1"/>
        <v>420</v>
      </c>
      <c r="Y17" s="158">
        <f>ROUND(IF(X17&gt;1200,100,($L$12*X17^4)-($L$13*X17^3)+($L$14*X17^2)-($L$15*X17)+$L$16),2)</f>
        <v>422.45</v>
      </c>
      <c r="Z17" s="158">
        <f>ROUND(IF(X17&gt;=1050,100,-($G$12*X17^4)+($G$13*X17^3)-($G$14*X17^2)-($G$15*X17)+$G$16),2)</f>
        <v>323.27</v>
      </c>
      <c r="AA17" s="158">
        <f>ROUND(IF(X17&gt;1230,75,-($G$12*X17^4)+($G$13*X17^3)-($G$14*X17^2)-($G$15*X17)+$G$16),2)</f>
        <v>323.27</v>
      </c>
      <c r="AB17" s="158">
        <f>ROUND(IF(X17&gt;=1050,75,($B$12*X17^4)-($B$13*X17^3)+($B$14*X17^2)-($B$15*X17)+$B$16),2)</f>
        <v>259.08999999999997</v>
      </c>
      <c r="AC17" s="479">
        <f>X17</f>
        <v>420</v>
      </c>
      <c r="AD17" s="478">
        <f>IF($B$33+$C$33=4,Y17,IF($B$33=2,AA17,IF($B$33+$C$33=3,Z17,AB17)))</f>
        <v>323.27</v>
      </c>
    </row>
    <row r="18" spans="1:30">
      <c r="A18" s="45"/>
      <c r="B18" s="45"/>
      <c r="C18" s="45"/>
      <c r="D18" s="387"/>
      <c r="E18" s="387"/>
      <c r="F18" s="387"/>
      <c r="G18" s="387"/>
      <c r="H18" s="387"/>
      <c r="I18" s="387"/>
      <c r="J18" s="387"/>
      <c r="K18" s="387"/>
      <c r="L18" s="308"/>
      <c r="M18" s="308"/>
      <c r="N18" s="45"/>
      <c r="O18" s="100"/>
      <c r="P18" s="157">
        <f t="shared" si="5"/>
        <v>530</v>
      </c>
      <c r="Q18" s="161"/>
      <c r="R18" s="161">
        <f t="shared" si="13"/>
        <v>503.91</v>
      </c>
      <c r="S18" s="161">
        <f t="shared" si="14"/>
        <v>503.91</v>
      </c>
      <c r="T18" s="161">
        <f t="shared" si="6"/>
        <v>406.25</v>
      </c>
      <c r="U18" s="479">
        <f t="shared" si="15"/>
        <v>530</v>
      </c>
      <c r="V18" s="478">
        <f t="shared" si="16"/>
        <v>503.91</v>
      </c>
      <c r="W18" s="99"/>
      <c r="X18" s="157">
        <f t="shared" si="1"/>
        <v>430</v>
      </c>
      <c r="Y18" s="158">
        <f t="shared" ref="Y18:Y81" si="17">ROUND(IF(X18&gt;1200,100,($L$12*X18^4)-($L$13*X18^3)+($L$14*X18^2)-($L$15*X18)+$L$16),2)</f>
        <v>415.6</v>
      </c>
      <c r="Z18" s="158">
        <f t="shared" ref="Z18:Z81" si="18">ROUND(IF(X18&gt;=1050,100,-($G$12*X18^4)+($G$13*X18^3)-($G$14*X18^2)-($G$15*X18)+$G$16),2)</f>
        <v>318.47000000000003</v>
      </c>
      <c r="AA18" s="158">
        <f t="shared" ref="AA18:AA81" si="19">ROUND(IF(X18&gt;1230,75,-($G$12*X18^4)+($G$13*X18^3)-($G$14*X18^2)-($G$15*X18)+$G$16),2)</f>
        <v>318.47000000000003</v>
      </c>
      <c r="AB18" s="158">
        <f t="shared" ref="AB18:AB81" si="20">ROUND(IF(X18&gt;=1050,75,($B$12*X18^4)-($B$13*X18^3)+($B$14*X18^2)-($B$15*X18)+$B$16),2)</f>
        <v>254.28</v>
      </c>
      <c r="AC18" s="479">
        <f t="shared" ref="AC18:AC81" si="21">X18</f>
        <v>430</v>
      </c>
      <c r="AD18" s="478">
        <f t="shared" ref="AD18:AD81" si="22">IF($B$33+$C$33=4,Y18,IF($B$33=2,AA18,IF($B$33+$C$33=3,Z18,AB18)))</f>
        <v>318.47000000000003</v>
      </c>
    </row>
    <row r="19" spans="1:30">
      <c r="A19" s="45"/>
      <c r="B19" s="1175" t="s">
        <v>213</v>
      </c>
      <c r="C19" s="1175"/>
      <c r="D19" s="1175"/>
      <c r="E19" s="331"/>
      <c r="F19" s="331"/>
      <c r="G19" s="1176" t="s">
        <v>214</v>
      </c>
      <c r="H19" s="1176"/>
      <c r="I19" s="1176"/>
      <c r="J19" s="94"/>
      <c r="K19" s="94"/>
      <c r="L19" s="379"/>
      <c r="M19" s="380"/>
      <c r="N19" s="45"/>
      <c r="O19" s="100"/>
      <c r="P19" s="157">
        <f t="shared" si="5"/>
        <v>540</v>
      </c>
      <c r="Q19" s="161"/>
      <c r="R19" s="161">
        <f t="shared" si="13"/>
        <v>498.61</v>
      </c>
      <c r="S19" s="161">
        <f t="shared" si="14"/>
        <v>498.61</v>
      </c>
      <c r="T19" s="161">
        <f t="shared" si="6"/>
        <v>401.34</v>
      </c>
      <c r="U19" s="479">
        <f t="shared" si="15"/>
        <v>540</v>
      </c>
      <c r="V19" s="478">
        <f t="shared" si="16"/>
        <v>498.61</v>
      </c>
      <c r="W19" s="99"/>
      <c r="X19" s="157">
        <f t="shared" si="1"/>
        <v>440</v>
      </c>
      <c r="Y19" s="158">
        <f t="shared" si="17"/>
        <v>408.83</v>
      </c>
      <c r="Z19" s="158">
        <f t="shared" si="18"/>
        <v>313.67</v>
      </c>
      <c r="AA19" s="158">
        <f t="shared" si="19"/>
        <v>313.67</v>
      </c>
      <c r="AB19" s="158">
        <f t="shared" si="20"/>
        <v>249.52</v>
      </c>
      <c r="AC19" s="479">
        <f t="shared" si="21"/>
        <v>440</v>
      </c>
      <c r="AD19" s="478">
        <f t="shared" si="22"/>
        <v>313.67</v>
      </c>
    </row>
    <row r="20" spans="1:30">
      <c r="A20" s="311"/>
      <c r="B20" s="320">
        <f>IF('Warrant 2'!AQ$13=0,'Warrant 3'!AA$15,"")</f>
        <v>0</v>
      </c>
      <c r="C20" s="321">
        <f>IF('Warrant 2'!AQ$13=0,IF('Warrant 3'!AD$15&gt;1800,1800,'Warrant 3'!AD$15),"")</f>
        <v>0</v>
      </c>
      <c r="D20" s="321">
        <f>IF('Warrant 2'!AQ$13=0,IF('Warrant 3'!AG$15&gt;600,600,'Warrant 3'!AG$15),"")</f>
        <v>0</v>
      </c>
      <c r="E20" s="331"/>
      <c r="F20" s="331"/>
      <c r="G20" s="320" t="str">
        <f>IF('Warrant 2'!AQ$13=1,'Warrant 3'!AA$15,"")</f>
        <v/>
      </c>
      <c r="H20" s="321" t="str">
        <f>IF('Warrant 2'!AQ$13=1,IF('Warrant 3'!AD$15&gt;1300,1300,'Warrant 3'!AD$15),"")</f>
        <v/>
      </c>
      <c r="I20" s="321" t="str">
        <f>IF('Warrant 2'!AQ$13=1,IF('Warrant 3'!AG$15&gt;500,500,'Warrant 3'!AG$15),"")</f>
        <v/>
      </c>
      <c r="J20" s="94"/>
      <c r="K20" s="94"/>
      <c r="L20" s="379"/>
      <c r="M20" s="381"/>
      <c r="N20" s="45"/>
      <c r="O20" s="100"/>
      <c r="P20" s="157">
        <f t="shared" si="5"/>
        <v>550</v>
      </c>
      <c r="Q20" s="161"/>
      <c r="R20" s="161">
        <f t="shared" si="13"/>
        <v>493.34</v>
      </c>
      <c r="S20" s="161">
        <f t="shared" si="14"/>
        <v>493.34</v>
      </c>
      <c r="T20" s="161">
        <f t="shared" si="6"/>
        <v>396.45</v>
      </c>
      <c r="U20" s="479">
        <f t="shared" si="15"/>
        <v>550</v>
      </c>
      <c r="V20" s="478">
        <f t="shared" si="16"/>
        <v>493.34</v>
      </c>
      <c r="W20" s="99"/>
      <c r="X20" s="157">
        <f t="shared" si="1"/>
        <v>450</v>
      </c>
      <c r="Y20" s="158">
        <f t="shared" si="17"/>
        <v>402.13</v>
      </c>
      <c r="Z20" s="158">
        <f t="shared" si="18"/>
        <v>308.88</v>
      </c>
      <c r="AA20" s="158">
        <f t="shared" si="19"/>
        <v>308.88</v>
      </c>
      <c r="AB20" s="158">
        <f t="shared" si="20"/>
        <v>244.8</v>
      </c>
      <c r="AC20" s="479">
        <f t="shared" si="21"/>
        <v>450</v>
      </c>
      <c r="AD20" s="478">
        <f t="shared" si="22"/>
        <v>308.88</v>
      </c>
    </row>
    <row r="21" spans="1:30">
      <c r="A21" s="295"/>
      <c r="B21" s="296"/>
      <c r="C21" s="296"/>
      <c r="D21" s="96"/>
      <c r="E21" s="96"/>
      <c r="F21" s="96"/>
      <c r="G21" s="96"/>
      <c r="H21" s="96"/>
      <c r="I21" s="96"/>
      <c r="J21" s="96"/>
      <c r="K21" s="96"/>
      <c r="L21" s="382"/>
      <c r="M21" s="383"/>
      <c r="N21" s="45"/>
      <c r="O21" s="100"/>
      <c r="P21" s="157">
        <f t="shared" si="5"/>
        <v>560</v>
      </c>
      <c r="Q21" s="161"/>
      <c r="R21" s="161">
        <f t="shared" si="13"/>
        <v>488.08</v>
      </c>
      <c r="S21" s="161">
        <f t="shared" si="14"/>
        <v>488.08</v>
      </c>
      <c r="T21" s="161">
        <f t="shared" si="6"/>
        <v>391.57</v>
      </c>
      <c r="U21" s="479">
        <f t="shared" si="15"/>
        <v>560</v>
      </c>
      <c r="V21" s="478">
        <f t="shared" si="16"/>
        <v>488.08</v>
      </c>
      <c r="W21" s="99"/>
      <c r="X21" s="157">
        <f t="shared" si="1"/>
        <v>460</v>
      </c>
      <c r="Y21" s="158">
        <f t="shared" si="17"/>
        <v>395.5</v>
      </c>
      <c r="Z21" s="158">
        <f t="shared" si="18"/>
        <v>304.11</v>
      </c>
      <c r="AA21" s="158">
        <f t="shared" si="19"/>
        <v>304.11</v>
      </c>
      <c r="AB21" s="158">
        <f t="shared" si="20"/>
        <v>240.14</v>
      </c>
      <c r="AC21" s="479">
        <f t="shared" si="21"/>
        <v>460</v>
      </c>
      <c r="AD21" s="478">
        <f t="shared" si="22"/>
        <v>304.11</v>
      </c>
    </row>
    <row r="22" spans="1:30">
      <c r="A22" s="295"/>
      <c r="B22" s="296"/>
      <c r="C22" s="296"/>
      <c r="D22" s="96"/>
      <c r="E22" s="96"/>
      <c r="F22" s="96"/>
      <c r="G22" s="96"/>
      <c r="H22" s="96"/>
      <c r="I22" s="96"/>
      <c r="J22" s="96"/>
      <c r="K22" s="96"/>
      <c r="L22" s="382"/>
      <c r="M22" s="383"/>
      <c r="N22" s="45"/>
      <c r="O22" s="100"/>
      <c r="P22" s="157">
        <f t="shared" si="5"/>
        <v>570</v>
      </c>
      <c r="Q22" s="161"/>
      <c r="R22" s="161">
        <f t="shared" si="13"/>
        <v>482.85</v>
      </c>
      <c r="S22" s="161">
        <f t="shared" si="14"/>
        <v>482.85</v>
      </c>
      <c r="T22" s="161">
        <f t="shared" si="6"/>
        <v>386.7</v>
      </c>
      <c r="U22" s="479">
        <f t="shared" si="15"/>
        <v>570</v>
      </c>
      <c r="V22" s="478">
        <f t="shared" si="16"/>
        <v>482.85</v>
      </c>
      <c r="W22" s="99"/>
      <c r="X22" s="157">
        <f t="shared" si="1"/>
        <v>470</v>
      </c>
      <c r="Y22" s="158">
        <f t="shared" si="17"/>
        <v>388.94</v>
      </c>
      <c r="Z22" s="158">
        <f t="shared" si="18"/>
        <v>299.35000000000002</v>
      </c>
      <c r="AA22" s="158">
        <f t="shared" si="19"/>
        <v>299.35000000000002</v>
      </c>
      <c r="AB22" s="158">
        <f t="shared" si="20"/>
        <v>235.53</v>
      </c>
      <c r="AC22" s="479">
        <f t="shared" si="21"/>
        <v>470</v>
      </c>
      <c r="AD22" s="478">
        <f t="shared" si="22"/>
        <v>299.35000000000002</v>
      </c>
    </row>
    <row r="23" spans="1:30">
      <c r="A23" s="295"/>
      <c r="B23" s="296"/>
      <c r="C23" s="296"/>
      <c r="D23" s="96"/>
      <c r="E23" s="96"/>
      <c r="F23" s="96"/>
      <c r="G23" s="96"/>
      <c r="H23" s="96"/>
      <c r="I23" s="96"/>
      <c r="J23" s="96"/>
      <c r="K23" s="96"/>
      <c r="L23" s="382"/>
      <c r="M23" s="383"/>
      <c r="N23" s="45"/>
      <c r="O23" s="100"/>
      <c r="P23" s="157">
        <f t="shared" si="5"/>
        <v>580</v>
      </c>
      <c r="Q23" s="161"/>
      <c r="R23" s="161">
        <f t="shared" si="13"/>
        <v>477.64</v>
      </c>
      <c r="S23" s="161">
        <f t="shared" si="14"/>
        <v>477.64</v>
      </c>
      <c r="T23" s="161">
        <f t="shared" si="6"/>
        <v>381.85</v>
      </c>
      <c r="U23" s="479">
        <f t="shared" si="15"/>
        <v>580</v>
      </c>
      <c r="V23" s="478">
        <f t="shared" si="16"/>
        <v>477.64</v>
      </c>
      <c r="W23" s="99"/>
      <c r="X23" s="157">
        <f t="shared" si="1"/>
        <v>480</v>
      </c>
      <c r="Y23" s="158">
        <f t="shared" si="17"/>
        <v>382.45</v>
      </c>
      <c r="Z23" s="158">
        <f t="shared" si="18"/>
        <v>294.61</v>
      </c>
      <c r="AA23" s="158">
        <f t="shared" si="19"/>
        <v>294.61</v>
      </c>
      <c r="AB23" s="158">
        <f t="shared" si="20"/>
        <v>230.97</v>
      </c>
      <c r="AC23" s="479">
        <f t="shared" si="21"/>
        <v>480</v>
      </c>
      <c r="AD23" s="478">
        <f t="shared" si="22"/>
        <v>294.61</v>
      </c>
    </row>
    <row r="24" spans="1:30">
      <c r="A24" s="295"/>
      <c r="B24" s="296"/>
      <c r="C24" s="296"/>
      <c r="D24" s="96"/>
      <c r="E24" s="96"/>
      <c r="F24" s="96"/>
      <c r="G24" s="96"/>
      <c r="H24" s="96"/>
      <c r="I24" s="96"/>
      <c r="J24" s="96"/>
      <c r="K24" s="96"/>
      <c r="L24" s="382"/>
      <c r="M24" s="383"/>
      <c r="N24" s="45"/>
      <c r="O24" s="100"/>
      <c r="P24" s="157">
        <f t="shared" si="5"/>
        <v>590</v>
      </c>
      <c r="Q24" s="161"/>
      <c r="R24" s="161">
        <f>ROUND(IF(P24&gt;1759,100,-($G$4*P24^4)+($G$5*P24^3)-($G$6*P24^2)-($G$7*P24)+$G$8),2)</f>
        <v>472.46</v>
      </c>
      <c r="S24" s="161">
        <f t="shared" si="14"/>
        <v>472.46</v>
      </c>
      <c r="T24" s="161">
        <f t="shared" si="6"/>
        <v>377.02</v>
      </c>
      <c r="U24" s="479">
        <f t="shared" si="15"/>
        <v>590</v>
      </c>
      <c r="V24" s="478">
        <f t="shared" si="16"/>
        <v>472.46</v>
      </c>
      <c r="W24" s="99"/>
      <c r="X24" s="157">
        <f t="shared" si="1"/>
        <v>490</v>
      </c>
      <c r="Y24" s="158">
        <f t="shared" si="17"/>
        <v>376.03</v>
      </c>
      <c r="Z24" s="158">
        <f t="shared" si="18"/>
        <v>289.88</v>
      </c>
      <c r="AA24" s="158">
        <f t="shared" si="19"/>
        <v>289.88</v>
      </c>
      <c r="AB24" s="158">
        <f t="shared" si="20"/>
        <v>226.46</v>
      </c>
      <c r="AC24" s="479">
        <f t="shared" si="21"/>
        <v>490</v>
      </c>
      <c r="AD24" s="478">
        <f t="shared" si="22"/>
        <v>289.88</v>
      </c>
    </row>
    <row r="25" spans="1:30">
      <c r="A25" s="295"/>
      <c r="B25" s="362">
        <v>400</v>
      </c>
      <c r="C25" s="362">
        <v>150</v>
      </c>
      <c r="D25" s="362">
        <v>100</v>
      </c>
      <c r="E25" s="338"/>
      <c r="F25" s="338"/>
      <c r="G25" s="362">
        <v>300</v>
      </c>
      <c r="H25" s="362">
        <v>100</v>
      </c>
      <c r="I25" s="362">
        <v>75</v>
      </c>
      <c r="J25" s="96"/>
      <c r="K25" s="96"/>
      <c r="L25" s="382"/>
      <c r="M25" s="383"/>
      <c r="N25" s="45"/>
      <c r="O25" s="100"/>
      <c r="P25" s="157">
        <f t="shared" si="5"/>
        <v>600</v>
      </c>
      <c r="Q25" s="161">
        <f>ROUND(IF(P25&gt;1689,150,-($L$4*P25^4)+($L$5*P25^3)-($L$6*P25^2)-($L$7*P25)+$L$8),2)</f>
        <v>598.15</v>
      </c>
      <c r="R25" s="161">
        <f>ROUND(IF(P25&gt;1759,100,-($G$4*P25^4)+($G$5*P25^3)-($G$6*P25^2)-($G$7*P25)+$G$8),2)</f>
        <v>467.3</v>
      </c>
      <c r="S25" s="161">
        <f>ROUND(IF(P25&gt;1463,150,-($G$4*P25^4)+($G$5*P25^3)-($G$6*P25^2)-($G$7*P25)+$G$8),2)</f>
        <v>467.3</v>
      </c>
      <c r="T25" s="161">
        <f>ROUND(IF(P25&gt;1547,100,-($B$4*P25^4)+($B$5*P25^3)-($B$6*P25^2)-($B$7*P25)+$B$8),2)</f>
        <v>372.21</v>
      </c>
      <c r="U25" s="479">
        <f>P25</f>
        <v>600</v>
      </c>
      <c r="V25" s="478">
        <f>IF($B$33+$C$33=4,Q25,IF($B$33=2,R25,IF($B$33+$C$33=3,S25,T25)))</f>
        <v>467.3</v>
      </c>
      <c r="W25" s="99"/>
      <c r="X25" s="157">
        <f t="shared" si="1"/>
        <v>500</v>
      </c>
      <c r="Y25" s="158">
        <f t="shared" si="17"/>
        <v>369.68</v>
      </c>
      <c r="Z25" s="158">
        <f t="shared" si="18"/>
        <v>285.18</v>
      </c>
      <c r="AA25" s="158">
        <f t="shared" si="19"/>
        <v>285.18</v>
      </c>
      <c r="AB25" s="158">
        <f t="shared" si="20"/>
        <v>222</v>
      </c>
      <c r="AC25" s="479">
        <f t="shared" si="21"/>
        <v>500</v>
      </c>
      <c r="AD25" s="478">
        <f t="shared" si="22"/>
        <v>285.18</v>
      </c>
    </row>
    <row r="26" spans="1:30">
      <c r="A26" s="295"/>
      <c r="B26" s="362">
        <v>1800</v>
      </c>
      <c r="C26" s="362">
        <v>150</v>
      </c>
      <c r="D26" s="362">
        <v>100</v>
      </c>
      <c r="E26" s="338"/>
      <c r="F26" s="338"/>
      <c r="G26" s="362">
        <v>1300</v>
      </c>
      <c r="H26" s="362">
        <v>100</v>
      </c>
      <c r="I26" s="362">
        <v>75</v>
      </c>
      <c r="J26" s="96"/>
      <c r="K26" s="96"/>
      <c r="L26" s="382"/>
      <c r="M26" s="383"/>
      <c r="N26" s="45"/>
      <c r="O26" s="100"/>
      <c r="P26" s="157">
        <f t="shared" si="5"/>
        <v>610</v>
      </c>
      <c r="Q26" s="161">
        <f t="shared" ref="Q26:Q89" si="23">ROUND(IF(P26&gt;1689,150,-($L$4*P26^4)+($L$5*P26^3)-($L$6*P26^2)-($L$7*P26)+$L$8),2)</f>
        <v>592.23</v>
      </c>
      <c r="R26" s="161">
        <f t="shared" ref="R26:R89" si="24">ROUND(IF(P26&gt;1759,100,-($G$4*P26^4)+($G$5*P26^3)-($G$6*P26^2)-($G$7*P26)+$G$8),2)</f>
        <v>462.16</v>
      </c>
      <c r="S26" s="161">
        <f t="shared" ref="S26:S89" si="25">ROUND(IF(P26&gt;1463,150,-($G$4*P26^4)+($G$5*P26^3)-($G$6*P26^2)-($G$7*P26)+$G$8),2)</f>
        <v>462.16</v>
      </c>
      <c r="T26" s="161">
        <f t="shared" ref="T26:T89" si="26">ROUND(IF(P26&gt;1547,100,-($B$4*P26^4)+($B$5*P26^3)-($B$6*P26^2)-($B$7*P26)+$B$8),2)</f>
        <v>367.42</v>
      </c>
      <c r="U26" s="479">
        <f t="shared" ref="U26:U89" si="27">P26</f>
        <v>610</v>
      </c>
      <c r="V26" s="478">
        <f t="shared" ref="V26:V89" si="28">IF($B$33+$C$33=4,Q26,IF($B$33=2,R26,IF($B$33+$C$33=3,S26,T26)))</f>
        <v>462.16</v>
      </c>
      <c r="W26" s="99"/>
      <c r="X26" s="157">
        <f t="shared" si="1"/>
        <v>510</v>
      </c>
      <c r="Y26" s="158">
        <f t="shared" si="17"/>
        <v>363.41</v>
      </c>
      <c r="Z26" s="158">
        <f t="shared" si="18"/>
        <v>280.5</v>
      </c>
      <c r="AA26" s="158">
        <f t="shared" si="19"/>
        <v>280.5</v>
      </c>
      <c r="AB26" s="158">
        <f t="shared" si="20"/>
        <v>217.6</v>
      </c>
      <c r="AC26" s="479">
        <f t="shared" si="21"/>
        <v>510</v>
      </c>
      <c r="AD26" s="478">
        <f t="shared" si="22"/>
        <v>280.5</v>
      </c>
    </row>
    <row r="27" spans="1:30">
      <c r="A27" s="295"/>
      <c r="B27" s="296"/>
      <c r="C27" s="296"/>
      <c r="D27" s="96"/>
      <c r="E27" s="96"/>
      <c r="F27" s="96"/>
      <c r="G27" s="96"/>
      <c r="H27" s="96"/>
      <c r="I27" s="96"/>
      <c r="J27" s="96"/>
      <c r="K27" s="96"/>
      <c r="L27" s="382"/>
      <c r="M27" s="383"/>
      <c r="N27" s="45"/>
      <c r="O27" s="100"/>
      <c r="P27" s="157">
        <f t="shared" si="5"/>
        <v>620</v>
      </c>
      <c r="Q27" s="161">
        <f t="shared" si="23"/>
        <v>586.30999999999995</v>
      </c>
      <c r="R27" s="161">
        <f t="shared" si="24"/>
        <v>457.05</v>
      </c>
      <c r="S27" s="161">
        <f t="shared" si="25"/>
        <v>457.05</v>
      </c>
      <c r="T27" s="161">
        <f t="shared" si="26"/>
        <v>362.65</v>
      </c>
      <c r="U27" s="479">
        <f t="shared" si="27"/>
        <v>620</v>
      </c>
      <c r="V27" s="478">
        <f t="shared" si="28"/>
        <v>457.05</v>
      </c>
      <c r="W27" s="99"/>
      <c r="X27" s="157">
        <f t="shared" si="1"/>
        <v>520</v>
      </c>
      <c r="Y27" s="158">
        <f t="shared" si="17"/>
        <v>357.2</v>
      </c>
      <c r="Z27" s="158">
        <f t="shared" si="18"/>
        <v>275.85000000000002</v>
      </c>
      <c r="AA27" s="158">
        <f t="shared" si="19"/>
        <v>275.85000000000002</v>
      </c>
      <c r="AB27" s="158">
        <f t="shared" si="20"/>
        <v>213.24</v>
      </c>
      <c r="AC27" s="479">
        <f t="shared" si="21"/>
        <v>520</v>
      </c>
      <c r="AD27" s="478">
        <f t="shared" si="22"/>
        <v>275.85000000000002</v>
      </c>
    </row>
    <row r="28" spans="1:30">
      <c r="A28" s="295"/>
      <c r="B28" s="296"/>
      <c r="C28" s="296"/>
      <c r="D28" s="1177" t="s">
        <v>213</v>
      </c>
      <c r="E28" s="1177"/>
      <c r="F28" s="1177"/>
      <c r="G28" s="1177"/>
      <c r="H28" s="1178" t="s">
        <v>214</v>
      </c>
      <c r="I28" s="1178"/>
      <c r="J28" s="1178"/>
      <c r="K28" s="1178"/>
      <c r="L28" s="339"/>
      <c r="M28" s="383"/>
      <c r="N28" s="45"/>
      <c r="O28" s="100"/>
      <c r="P28" s="157">
        <f t="shared" si="5"/>
        <v>630</v>
      </c>
      <c r="Q28" s="161">
        <f t="shared" si="23"/>
        <v>580.39</v>
      </c>
      <c r="R28" s="161">
        <f t="shared" si="24"/>
        <v>451.97</v>
      </c>
      <c r="S28" s="161">
        <f t="shared" si="25"/>
        <v>451.97</v>
      </c>
      <c r="T28" s="161">
        <f t="shared" si="26"/>
        <v>357.9</v>
      </c>
      <c r="U28" s="479">
        <f t="shared" si="27"/>
        <v>630</v>
      </c>
      <c r="V28" s="478">
        <f t="shared" si="28"/>
        <v>451.97</v>
      </c>
      <c r="W28" s="99"/>
      <c r="X28" s="157">
        <f t="shared" si="1"/>
        <v>530</v>
      </c>
      <c r="Y28" s="158">
        <f t="shared" si="17"/>
        <v>351.06</v>
      </c>
      <c r="Z28" s="158">
        <f t="shared" si="18"/>
        <v>271.22000000000003</v>
      </c>
      <c r="AA28" s="158">
        <f t="shared" si="19"/>
        <v>271.22000000000003</v>
      </c>
      <c r="AB28" s="158">
        <f t="shared" si="20"/>
        <v>208.93</v>
      </c>
      <c r="AC28" s="479">
        <f t="shared" si="21"/>
        <v>530</v>
      </c>
      <c r="AD28" s="478">
        <f t="shared" si="22"/>
        <v>271.22000000000003</v>
      </c>
    </row>
    <row r="29" spans="1:30">
      <c r="A29" s="295"/>
      <c r="B29" s="296"/>
      <c r="C29" s="296"/>
      <c r="D29" s="370">
        <v>1</v>
      </c>
      <c r="E29" s="370">
        <v>2</v>
      </c>
      <c r="F29" s="370">
        <v>3</v>
      </c>
      <c r="G29" s="370">
        <v>4</v>
      </c>
      <c r="H29" s="250">
        <v>5</v>
      </c>
      <c r="I29" s="250">
        <v>6</v>
      </c>
      <c r="J29" s="250">
        <v>7</v>
      </c>
      <c r="K29" s="250">
        <v>8</v>
      </c>
      <c r="L29" s="339"/>
      <c r="M29" s="383"/>
      <c r="N29" s="45"/>
      <c r="O29" s="100"/>
      <c r="P29" s="157">
        <f t="shared" si="5"/>
        <v>640</v>
      </c>
      <c r="Q29" s="161">
        <f t="shared" si="23"/>
        <v>574.48</v>
      </c>
      <c r="R29" s="161">
        <f t="shared" si="24"/>
        <v>446.91</v>
      </c>
      <c r="S29" s="161">
        <f t="shared" si="25"/>
        <v>446.91</v>
      </c>
      <c r="T29" s="161">
        <f t="shared" si="26"/>
        <v>353.17</v>
      </c>
      <c r="U29" s="479">
        <f t="shared" si="27"/>
        <v>640</v>
      </c>
      <c r="V29" s="478">
        <f t="shared" si="28"/>
        <v>446.91</v>
      </c>
      <c r="W29" s="99"/>
      <c r="X29" s="157">
        <f t="shared" si="1"/>
        <v>540</v>
      </c>
      <c r="Y29" s="158">
        <f t="shared" si="17"/>
        <v>345</v>
      </c>
      <c r="Z29" s="158">
        <f t="shared" si="18"/>
        <v>266.63</v>
      </c>
      <c r="AA29" s="158">
        <f t="shared" si="19"/>
        <v>266.63</v>
      </c>
      <c r="AB29" s="158">
        <f t="shared" si="20"/>
        <v>204.68</v>
      </c>
      <c r="AC29" s="479">
        <f t="shared" si="21"/>
        <v>540</v>
      </c>
      <c r="AD29" s="478">
        <f t="shared" si="22"/>
        <v>266.63</v>
      </c>
    </row>
    <row r="30" spans="1:30">
      <c r="A30" s="295"/>
      <c r="B30" s="296"/>
      <c r="C30" s="296"/>
      <c r="D30" s="374" t="s">
        <v>218</v>
      </c>
      <c r="E30" s="374" t="s">
        <v>216</v>
      </c>
      <c r="F30" s="374" t="s">
        <v>217</v>
      </c>
      <c r="G30" s="374" t="s">
        <v>215</v>
      </c>
      <c r="H30" s="374" t="s">
        <v>218</v>
      </c>
      <c r="I30" s="374" t="s">
        <v>216</v>
      </c>
      <c r="J30" s="374" t="s">
        <v>217</v>
      </c>
      <c r="K30" s="374" t="s">
        <v>215</v>
      </c>
      <c r="L30" s="375" t="s">
        <v>34</v>
      </c>
      <c r="M30" s="383"/>
      <c r="N30" s="45"/>
      <c r="O30" s="100"/>
      <c r="P30" s="157">
        <f t="shared" si="5"/>
        <v>650</v>
      </c>
      <c r="Q30" s="161">
        <f t="shared" si="23"/>
        <v>568.55999999999995</v>
      </c>
      <c r="R30" s="161">
        <f t="shared" si="24"/>
        <v>441.88</v>
      </c>
      <c r="S30" s="161">
        <f t="shared" si="25"/>
        <v>441.88</v>
      </c>
      <c r="T30" s="161">
        <f t="shared" si="26"/>
        <v>348.47</v>
      </c>
      <c r="U30" s="479">
        <f t="shared" si="27"/>
        <v>650</v>
      </c>
      <c r="V30" s="478">
        <f t="shared" si="28"/>
        <v>441.88</v>
      </c>
      <c r="W30" s="99"/>
      <c r="X30" s="157">
        <f t="shared" si="1"/>
        <v>550</v>
      </c>
      <c r="Y30" s="158">
        <f t="shared" si="17"/>
        <v>339</v>
      </c>
      <c r="Z30" s="158">
        <f t="shared" si="18"/>
        <v>262.06</v>
      </c>
      <c r="AA30" s="158">
        <f t="shared" si="19"/>
        <v>262.06</v>
      </c>
      <c r="AB30" s="158">
        <f t="shared" si="20"/>
        <v>200.48</v>
      </c>
      <c r="AC30" s="479">
        <f t="shared" si="21"/>
        <v>550</v>
      </c>
      <c r="AD30" s="478">
        <f t="shared" si="22"/>
        <v>262.06</v>
      </c>
    </row>
    <row r="31" spans="1:30">
      <c r="A31" s="295"/>
      <c r="B31" s="337">
        <f>'Warrant 3'!AD$15</f>
        <v>0</v>
      </c>
      <c r="C31" s="337">
        <f>'Warrant 3'!AG$15</f>
        <v>0</v>
      </c>
      <c r="D31" s="96">
        <f>IF(B31&gt;1547,100,-($B$4*B31^4)+($B$5*B31^3)-($B$6*B31^2)-($B$7*B31)+$B$8)</f>
        <v>644.35190009999997</v>
      </c>
      <c r="E31" s="96">
        <f>IF(B31&gt;1463,150,-($G$4*B31^4)+($G$5*B31^3)-($G$6*B31^2)-($G$7*B31)+$G$8)</f>
        <v>795.60681980000004</v>
      </c>
      <c r="F31" s="96">
        <f>IF(B31&gt;1759,100,-($G$4*B31^4)+($G$5*B31^3)-($G$6*B31^2)-($G$7*B31)+$G$8)</f>
        <v>795.60681980000004</v>
      </c>
      <c r="G31" s="96">
        <f>IF(B31&gt;1689,150,-($L$4*B31^4)+($L$5*B31^3)-($L$6*B31^2)-($L$7*B31)+$L$8)</f>
        <v>874.44115629999999</v>
      </c>
      <c r="H31" s="96">
        <f>IF(B31&gt;=1050,75,($B$12*B31^4)-($B$13*B31^3)+($B$14*B31^2)-($B$15*B31)+$B$16)</f>
        <v>513.83894399999997</v>
      </c>
      <c r="I31" s="96">
        <f>IF(B31&gt;=1050,100,-($G$12*B31^4)+($G$13*B31^3)-($G$14*B31^2)-($G$15*B31)+$G$16)</f>
        <v>494.72313609999998</v>
      </c>
      <c r="J31" s="96">
        <f>IF(B31&gt;1230,75,-($G$12*B31^4)+($G$13*B31^3)-($G$14*B31^2)-($G$15*B31)+$G$16)</f>
        <v>494.72313609999998</v>
      </c>
      <c r="K31" s="96">
        <f>IF(B31&gt;1200,100,($L$12*B31^4)-($L$13*B31^3)+($L$14*B31^2)-($L$15*B31)+$L$16)</f>
        <v>779.96712579999996</v>
      </c>
      <c r="L31" s="378">
        <f ca="1">IF(C31&gt;=OFFSET($C$30,1,$E$33),1,0)</f>
        <v>0</v>
      </c>
      <c r="M31" s="383"/>
      <c r="N31" s="45"/>
      <c r="O31" s="107"/>
      <c r="P31" s="157">
        <f t="shared" si="5"/>
        <v>660</v>
      </c>
      <c r="Q31" s="161">
        <f t="shared" si="23"/>
        <v>562.65</v>
      </c>
      <c r="R31" s="161">
        <f t="shared" si="24"/>
        <v>436.88</v>
      </c>
      <c r="S31" s="161">
        <f t="shared" si="25"/>
        <v>436.88</v>
      </c>
      <c r="T31" s="161">
        <f t="shared" si="26"/>
        <v>343.79</v>
      </c>
      <c r="U31" s="479">
        <f t="shared" si="27"/>
        <v>660</v>
      </c>
      <c r="V31" s="478">
        <f t="shared" si="28"/>
        <v>436.88</v>
      </c>
      <c r="W31" s="99"/>
      <c r="X31" s="157">
        <f t="shared" si="1"/>
        <v>560</v>
      </c>
      <c r="Y31" s="158">
        <f t="shared" si="17"/>
        <v>333.08</v>
      </c>
      <c r="Z31" s="158">
        <f t="shared" si="18"/>
        <v>257.52999999999997</v>
      </c>
      <c r="AA31" s="158">
        <f t="shared" si="19"/>
        <v>257.52999999999997</v>
      </c>
      <c r="AB31" s="158">
        <f t="shared" si="20"/>
        <v>196.33</v>
      </c>
      <c r="AC31" s="479">
        <f t="shared" si="21"/>
        <v>560</v>
      </c>
      <c r="AD31" s="478">
        <f t="shared" si="22"/>
        <v>257.52999999999997</v>
      </c>
    </row>
    <row r="32" spans="1:30">
      <c r="A32" s="295"/>
      <c r="B32" s="376" t="s">
        <v>5</v>
      </c>
      <c r="C32" s="376" t="s">
        <v>6</v>
      </c>
      <c r="D32" s="377" t="s">
        <v>33</v>
      </c>
      <c r="E32" s="374" t="s">
        <v>219</v>
      </c>
      <c r="F32" s="96"/>
      <c r="G32" s="96"/>
      <c r="H32" s="96"/>
      <c r="I32" s="96"/>
      <c r="J32" s="96"/>
      <c r="K32" s="96"/>
      <c r="L32" s="382"/>
      <c r="M32" s="383"/>
      <c r="N32" s="45"/>
      <c r="O32" s="100"/>
      <c r="P32" s="157">
        <f t="shared" si="5"/>
        <v>670</v>
      </c>
      <c r="Q32" s="161">
        <f t="shared" si="23"/>
        <v>556.75</v>
      </c>
      <c r="R32" s="161">
        <f t="shared" si="24"/>
        <v>431.9</v>
      </c>
      <c r="S32" s="161">
        <f t="shared" si="25"/>
        <v>431.9</v>
      </c>
      <c r="T32" s="161">
        <f t="shared" si="26"/>
        <v>339.14</v>
      </c>
      <c r="U32" s="479">
        <f t="shared" si="27"/>
        <v>670</v>
      </c>
      <c r="V32" s="478">
        <f t="shared" si="28"/>
        <v>431.9</v>
      </c>
      <c r="W32" s="99"/>
      <c r="X32" s="157">
        <f t="shared" si="1"/>
        <v>570</v>
      </c>
      <c r="Y32" s="158">
        <f t="shared" si="17"/>
        <v>327.22000000000003</v>
      </c>
      <c r="Z32" s="158">
        <f t="shared" si="18"/>
        <v>253.03</v>
      </c>
      <c r="AA32" s="158">
        <f t="shared" si="19"/>
        <v>253.03</v>
      </c>
      <c r="AB32" s="158">
        <f t="shared" si="20"/>
        <v>192.23</v>
      </c>
      <c r="AC32" s="479">
        <f t="shared" si="21"/>
        <v>570</v>
      </c>
      <c r="AD32" s="478">
        <f t="shared" si="22"/>
        <v>253.03</v>
      </c>
    </row>
    <row r="33" spans="1:30">
      <c r="A33" s="295"/>
      <c r="B33" s="370">
        <f>IF('Warrant 1'!W9=1,0,2)</f>
        <v>2</v>
      </c>
      <c r="C33" s="370">
        <f>'Warrant 1'!W10</f>
        <v>0</v>
      </c>
      <c r="D33" s="370">
        <f>IF('Warrant 1'!AN18=0,0,4)</f>
        <v>0</v>
      </c>
      <c r="E33" s="370">
        <f>B33+C33+D33</f>
        <v>2</v>
      </c>
      <c r="F33" s="96"/>
      <c r="G33" s="96"/>
      <c r="H33" s="96"/>
      <c r="I33" s="96"/>
      <c r="J33" s="96"/>
      <c r="K33" s="96"/>
      <c r="L33" s="382"/>
      <c r="M33" s="383"/>
      <c r="N33" s="45"/>
      <c r="O33" s="100"/>
      <c r="P33" s="157">
        <f t="shared" si="5"/>
        <v>680</v>
      </c>
      <c r="Q33" s="161">
        <f t="shared" si="23"/>
        <v>550.86</v>
      </c>
      <c r="R33" s="161">
        <f t="shared" si="24"/>
        <v>426.96</v>
      </c>
      <c r="S33" s="161">
        <f t="shared" si="25"/>
        <v>426.96</v>
      </c>
      <c r="T33" s="161">
        <f t="shared" si="26"/>
        <v>334.52</v>
      </c>
      <c r="U33" s="479">
        <f t="shared" si="27"/>
        <v>680</v>
      </c>
      <c r="V33" s="478">
        <f t="shared" si="28"/>
        <v>426.96</v>
      </c>
      <c r="W33" s="99"/>
      <c r="X33" s="157">
        <f t="shared" si="1"/>
        <v>580</v>
      </c>
      <c r="Y33" s="158">
        <f t="shared" si="17"/>
        <v>321.43</v>
      </c>
      <c r="Z33" s="158">
        <f t="shared" si="18"/>
        <v>248.56</v>
      </c>
      <c r="AA33" s="158">
        <f t="shared" si="19"/>
        <v>248.56</v>
      </c>
      <c r="AB33" s="158">
        <f t="shared" si="20"/>
        <v>188.19</v>
      </c>
      <c r="AC33" s="479">
        <f t="shared" si="21"/>
        <v>580</v>
      </c>
      <c r="AD33" s="478">
        <f t="shared" si="22"/>
        <v>248.56</v>
      </c>
    </row>
    <row r="34" spans="1:30">
      <c r="A34" s="295"/>
      <c r="B34" s="296"/>
      <c r="C34" s="296"/>
      <c r="D34" s="96"/>
      <c r="E34" s="96"/>
      <c r="F34" s="96"/>
      <c r="G34" s="96"/>
      <c r="H34" s="96"/>
      <c r="I34" s="96"/>
      <c r="J34" s="96"/>
      <c r="K34" s="96"/>
      <c r="L34" s="382"/>
      <c r="M34" s="383"/>
      <c r="N34" s="45"/>
      <c r="O34" s="100"/>
      <c r="P34" s="157">
        <f t="shared" si="5"/>
        <v>690</v>
      </c>
      <c r="Q34" s="161">
        <f t="shared" si="23"/>
        <v>544.97</v>
      </c>
      <c r="R34" s="161">
        <f t="shared" si="24"/>
        <v>422.04</v>
      </c>
      <c r="S34" s="161">
        <f t="shared" si="25"/>
        <v>422.04</v>
      </c>
      <c r="T34" s="161">
        <f t="shared" si="26"/>
        <v>329.93</v>
      </c>
      <c r="U34" s="479">
        <f t="shared" si="27"/>
        <v>690</v>
      </c>
      <c r="V34" s="478">
        <f t="shared" si="28"/>
        <v>422.04</v>
      </c>
      <c r="W34" s="99"/>
      <c r="X34" s="157">
        <f t="shared" si="1"/>
        <v>590</v>
      </c>
      <c r="Y34" s="158">
        <f t="shared" si="17"/>
        <v>315.70999999999998</v>
      </c>
      <c r="Z34" s="158">
        <f t="shared" si="18"/>
        <v>244.14</v>
      </c>
      <c r="AA34" s="158">
        <f t="shared" si="19"/>
        <v>244.14</v>
      </c>
      <c r="AB34" s="158">
        <f t="shared" si="20"/>
        <v>184.2</v>
      </c>
      <c r="AC34" s="479">
        <f t="shared" si="21"/>
        <v>590</v>
      </c>
      <c r="AD34" s="478">
        <f t="shared" si="22"/>
        <v>244.14</v>
      </c>
    </row>
    <row r="35" spans="1:30">
      <c r="A35" s="295"/>
      <c r="B35" s="296"/>
      <c r="C35" s="296"/>
      <c r="D35" s="96"/>
      <c r="E35" s="96"/>
      <c r="F35" s="96"/>
      <c r="G35" s="96"/>
      <c r="H35" s="96"/>
      <c r="I35" s="96"/>
      <c r="J35" s="96"/>
      <c r="K35" s="96"/>
      <c r="L35" s="382"/>
      <c r="M35" s="383"/>
      <c r="N35" s="45"/>
      <c r="O35" s="100"/>
      <c r="P35" s="157">
        <f t="shared" si="5"/>
        <v>700</v>
      </c>
      <c r="Q35" s="161">
        <f t="shared" si="23"/>
        <v>539.1</v>
      </c>
      <c r="R35" s="161">
        <f t="shared" si="24"/>
        <v>417.15</v>
      </c>
      <c r="S35" s="161">
        <f t="shared" si="25"/>
        <v>417.15</v>
      </c>
      <c r="T35" s="161">
        <f t="shared" si="26"/>
        <v>325.36</v>
      </c>
      <c r="U35" s="479">
        <f t="shared" si="27"/>
        <v>700</v>
      </c>
      <c r="V35" s="478">
        <f t="shared" si="28"/>
        <v>417.15</v>
      </c>
      <c r="W35" s="99"/>
      <c r="X35" s="157">
        <f t="shared" si="1"/>
        <v>600</v>
      </c>
      <c r="Y35" s="158">
        <f t="shared" si="17"/>
        <v>310.07</v>
      </c>
      <c r="Z35" s="158">
        <f t="shared" si="18"/>
        <v>239.75</v>
      </c>
      <c r="AA35" s="158">
        <f t="shared" si="19"/>
        <v>239.75</v>
      </c>
      <c r="AB35" s="158">
        <f t="shared" si="20"/>
        <v>180.26</v>
      </c>
      <c r="AC35" s="479">
        <f t="shared" si="21"/>
        <v>600</v>
      </c>
      <c r="AD35" s="478">
        <f t="shared" si="22"/>
        <v>239.75</v>
      </c>
    </row>
    <row r="36" spans="1:30">
      <c r="A36" s="295"/>
      <c r="B36" s="296"/>
      <c r="C36" s="296"/>
      <c r="D36" s="96"/>
      <c r="E36" s="96"/>
      <c r="F36" s="96"/>
      <c r="G36" s="96"/>
      <c r="H36" s="96"/>
      <c r="I36" s="96"/>
      <c r="J36" s="96"/>
      <c r="K36" s="96"/>
      <c r="L36" s="382"/>
      <c r="M36" s="383"/>
      <c r="N36" s="45"/>
      <c r="O36" s="100"/>
      <c r="P36" s="157">
        <f t="shared" si="5"/>
        <v>710</v>
      </c>
      <c r="Q36" s="161">
        <f t="shared" si="23"/>
        <v>533.24</v>
      </c>
      <c r="R36" s="161">
        <f t="shared" si="24"/>
        <v>412.3</v>
      </c>
      <c r="S36" s="161">
        <f t="shared" si="25"/>
        <v>412.3</v>
      </c>
      <c r="T36" s="161">
        <f t="shared" si="26"/>
        <v>320.83</v>
      </c>
      <c r="U36" s="479">
        <f t="shared" si="27"/>
        <v>710</v>
      </c>
      <c r="V36" s="478">
        <f t="shared" si="28"/>
        <v>412.3</v>
      </c>
      <c r="W36" s="99"/>
      <c r="X36" s="157">
        <f t="shared" si="1"/>
        <v>610</v>
      </c>
      <c r="Y36" s="158">
        <f t="shared" si="17"/>
        <v>304.49</v>
      </c>
      <c r="Z36" s="158">
        <f t="shared" si="18"/>
        <v>235.41</v>
      </c>
      <c r="AA36" s="158">
        <f t="shared" si="19"/>
        <v>235.41</v>
      </c>
      <c r="AB36" s="158">
        <f t="shared" si="20"/>
        <v>176.38</v>
      </c>
      <c r="AC36" s="479">
        <f t="shared" si="21"/>
        <v>610</v>
      </c>
      <c r="AD36" s="478">
        <f t="shared" si="22"/>
        <v>235.41</v>
      </c>
    </row>
    <row r="37" spans="1:30">
      <c r="A37" s="295"/>
      <c r="B37" s="296"/>
      <c r="C37" s="296"/>
      <c r="D37" s="96"/>
      <c r="E37" s="96"/>
      <c r="F37" s="96"/>
      <c r="G37" s="96"/>
      <c r="H37" s="96"/>
      <c r="I37" s="96"/>
      <c r="J37" s="96"/>
      <c r="K37" s="96"/>
      <c r="L37" s="382"/>
      <c r="M37" s="383"/>
      <c r="N37" s="45"/>
      <c r="O37" s="100"/>
      <c r="P37" s="157">
        <f t="shared" si="5"/>
        <v>720</v>
      </c>
      <c r="Q37" s="161">
        <f t="shared" si="23"/>
        <v>527.4</v>
      </c>
      <c r="R37" s="161">
        <f t="shared" si="24"/>
        <v>407.47</v>
      </c>
      <c r="S37" s="161">
        <f t="shared" si="25"/>
        <v>407.47</v>
      </c>
      <c r="T37" s="161">
        <f t="shared" si="26"/>
        <v>316.33</v>
      </c>
      <c r="U37" s="479">
        <f t="shared" si="27"/>
        <v>720</v>
      </c>
      <c r="V37" s="478">
        <f t="shared" si="28"/>
        <v>407.47</v>
      </c>
      <c r="W37" s="99"/>
      <c r="X37" s="157">
        <f t="shared" si="1"/>
        <v>620</v>
      </c>
      <c r="Y37" s="158">
        <f t="shared" si="17"/>
        <v>298.98</v>
      </c>
      <c r="Z37" s="158">
        <f t="shared" si="18"/>
        <v>231.1</v>
      </c>
      <c r="AA37" s="158">
        <f t="shared" si="19"/>
        <v>231.1</v>
      </c>
      <c r="AB37" s="158">
        <f t="shared" si="20"/>
        <v>172.56</v>
      </c>
      <c r="AC37" s="479">
        <f t="shared" si="21"/>
        <v>620</v>
      </c>
      <c r="AD37" s="478">
        <f t="shared" si="22"/>
        <v>231.1</v>
      </c>
    </row>
    <row r="38" spans="1:30">
      <c r="A38" s="295"/>
      <c r="B38" s="296"/>
      <c r="C38" s="296"/>
      <c r="D38" s="96"/>
      <c r="E38" s="96"/>
      <c r="F38" s="96"/>
      <c r="G38" s="96"/>
      <c r="H38" s="96"/>
      <c r="I38" s="96"/>
      <c r="J38" s="96"/>
      <c r="K38" s="96"/>
      <c r="L38" s="382"/>
      <c r="M38" s="383"/>
      <c r="N38" s="45"/>
      <c r="O38" s="100"/>
      <c r="P38" s="157">
        <f t="shared" si="5"/>
        <v>730</v>
      </c>
      <c r="Q38" s="161">
        <f t="shared" si="23"/>
        <v>521.57000000000005</v>
      </c>
      <c r="R38" s="161">
        <f t="shared" si="24"/>
        <v>402.67</v>
      </c>
      <c r="S38" s="161">
        <f t="shared" si="25"/>
        <v>402.67</v>
      </c>
      <c r="T38" s="161">
        <f t="shared" si="26"/>
        <v>311.86</v>
      </c>
      <c r="U38" s="479">
        <f t="shared" si="27"/>
        <v>730</v>
      </c>
      <c r="V38" s="478">
        <f t="shared" si="28"/>
        <v>402.67</v>
      </c>
      <c r="W38" s="99"/>
      <c r="X38" s="157">
        <f t="shared" si="1"/>
        <v>630</v>
      </c>
      <c r="Y38" s="158">
        <f t="shared" si="17"/>
        <v>293.54000000000002</v>
      </c>
      <c r="Z38" s="158">
        <f t="shared" si="18"/>
        <v>226.84</v>
      </c>
      <c r="AA38" s="158">
        <f t="shared" si="19"/>
        <v>226.84</v>
      </c>
      <c r="AB38" s="158">
        <f t="shared" si="20"/>
        <v>168.78</v>
      </c>
      <c r="AC38" s="479">
        <f t="shared" si="21"/>
        <v>630</v>
      </c>
      <c r="AD38" s="478">
        <f t="shared" si="22"/>
        <v>226.84</v>
      </c>
    </row>
    <row r="39" spans="1:30">
      <c r="A39" s="295"/>
      <c r="B39" s="296"/>
      <c r="C39" s="296"/>
      <c r="D39" s="96"/>
      <c r="E39" s="96"/>
      <c r="F39" s="96"/>
      <c r="G39" s="96"/>
      <c r="H39" s="96"/>
      <c r="I39" s="96"/>
      <c r="J39" s="96"/>
      <c r="K39" s="96"/>
      <c r="L39" s="382"/>
      <c r="M39" s="383"/>
      <c r="N39" s="45"/>
      <c r="O39" s="100"/>
      <c r="P39" s="157">
        <f t="shared" si="5"/>
        <v>740</v>
      </c>
      <c r="Q39" s="161">
        <f t="shared" si="23"/>
        <v>515.76</v>
      </c>
      <c r="R39" s="161">
        <f t="shared" si="24"/>
        <v>397.91</v>
      </c>
      <c r="S39" s="161">
        <f t="shared" si="25"/>
        <v>397.91</v>
      </c>
      <c r="T39" s="161">
        <f t="shared" si="26"/>
        <v>307.42</v>
      </c>
      <c r="U39" s="479">
        <f t="shared" si="27"/>
        <v>740</v>
      </c>
      <c r="V39" s="478">
        <f t="shared" si="28"/>
        <v>397.91</v>
      </c>
      <c r="W39" s="99"/>
      <c r="X39" s="157">
        <f t="shared" si="1"/>
        <v>640</v>
      </c>
      <c r="Y39" s="158">
        <f t="shared" si="17"/>
        <v>288.16000000000003</v>
      </c>
      <c r="Z39" s="158">
        <f t="shared" si="18"/>
        <v>222.63</v>
      </c>
      <c r="AA39" s="158">
        <f t="shared" si="19"/>
        <v>222.63</v>
      </c>
      <c r="AB39" s="158">
        <f t="shared" si="20"/>
        <v>165.07</v>
      </c>
      <c r="AC39" s="479">
        <f t="shared" si="21"/>
        <v>640</v>
      </c>
      <c r="AD39" s="478">
        <f t="shared" si="22"/>
        <v>222.63</v>
      </c>
    </row>
    <row r="40" spans="1:30">
      <c r="A40" s="295"/>
      <c r="B40" s="296"/>
      <c r="C40" s="296"/>
      <c r="D40" s="96"/>
      <c r="E40" s="96"/>
      <c r="F40" s="96"/>
      <c r="G40" s="96"/>
      <c r="H40" s="96"/>
      <c r="I40" s="96"/>
      <c r="J40" s="96"/>
      <c r="K40" s="96"/>
      <c r="L40" s="382"/>
      <c r="M40" s="383"/>
      <c r="N40" s="45"/>
      <c r="O40" s="100"/>
      <c r="P40" s="157">
        <f t="shared" si="5"/>
        <v>750</v>
      </c>
      <c r="Q40" s="161">
        <f t="shared" si="23"/>
        <v>509.96</v>
      </c>
      <c r="R40" s="161">
        <f t="shared" si="24"/>
        <v>393.18</v>
      </c>
      <c r="S40" s="161">
        <f t="shared" si="25"/>
        <v>393.18</v>
      </c>
      <c r="T40" s="161">
        <f t="shared" si="26"/>
        <v>303.02</v>
      </c>
      <c r="U40" s="479">
        <f t="shared" si="27"/>
        <v>750</v>
      </c>
      <c r="V40" s="478">
        <f t="shared" si="28"/>
        <v>393.18</v>
      </c>
      <c r="W40" s="99"/>
      <c r="X40" s="157">
        <f t="shared" si="1"/>
        <v>650</v>
      </c>
      <c r="Y40" s="158">
        <f t="shared" si="17"/>
        <v>282.86</v>
      </c>
      <c r="Z40" s="158">
        <f t="shared" si="18"/>
        <v>218.46</v>
      </c>
      <c r="AA40" s="158">
        <f t="shared" si="19"/>
        <v>218.46</v>
      </c>
      <c r="AB40" s="158">
        <f t="shared" si="20"/>
        <v>161.41</v>
      </c>
      <c r="AC40" s="479">
        <f t="shared" si="21"/>
        <v>650</v>
      </c>
      <c r="AD40" s="478">
        <f t="shared" si="22"/>
        <v>218.46</v>
      </c>
    </row>
    <row r="41" spans="1:30">
      <c r="A41" s="295"/>
      <c r="B41" s="296"/>
      <c r="C41" s="296"/>
      <c r="D41" s="96"/>
      <c r="E41" s="96"/>
      <c r="F41" s="96"/>
      <c r="G41" s="96"/>
      <c r="H41" s="96"/>
      <c r="I41" s="96"/>
      <c r="J41" s="96"/>
      <c r="K41" s="96"/>
      <c r="L41" s="382"/>
      <c r="M41" s="383"/>
      <c r="N41" s="45"/>
      <c r="O41" s="100"/>
      <c r="P41" s="157">
        <f t="shared" si="5"/>
        <v>760</v>
      </c>
      <c r="Q41" s="161">
        <f t="shared" si="23"/>
        <v>504.19</v>
      </c>
      <c r="R41" s="161">
        <f t="shared" si="24"/>
        <v>388.47</v>
      </c>
      <c r="S41" s="161">
        <f t="shared" si="25"/>
        <v>388.47</v>
      </c>
      <c r="T41" s="161">
        <f t="shared" si="26"/>
        <v>298.64999999999998</v>
      </c>
      <c r="U41" s="479">
        <f t="shared" si="27"/>
        <v>760</v>
      </c>
      <c r="V41" s="478">
        <f t="shared" si="28"/>
        <v>388.47</v>
      </c>
      <c r="W41" s="99"/>
      <c r="X41" s="157">
        <f t="shared" si="1"/>
        <v>660</v>
      </c>
      <c r="Y41" s="158">
        <f t="shared" si="17"/>
        <v>277.63</v>
      </c>
      <c r="Z41" s="158">
        <f t="shared" si="18"/>
        <v>214.33</v>
      </c>
      <c r="AA41" s="158">
        <f t="shared" si="19"/>
        <v>214.33</v>
      </c>
      <c r="AB41" s="158">
        <f t="shared" si="20"/>
        <v>157.81</v>
      </c>
      <c r="AC41" s="479">
        <f t="shared" si="21"/>
        <v>660</v>
      </c>
      <c r="AD41" s="478">
        <f t="shared" si="22"/>
        <v>214.33</v>
      </c>
    </row>
    <row r="42" spans="1:30">
      <c r="A42" s="295"/>
      <c r="B42" s="296"/>
      <c r="C42" s="296"/>
      <c r="D42" s="96"/>
      <c r="E42" s="96"/>
      <c r="F42" s="96"/>
      <c r="G42" s="96"/>
      <c r="H42" s="96"/>
      <c r="I42" s="96"/>
      <c r="J42" s="96"/>
      <c r="K42" s="96"/>
      <c r="L42" s="382"/>
      <c r="M42" s="383"/>
      <c r="N42" s="45"/>
      <c r="O42" s="100"/>
      <c r="P42" s="157">
        <f t="shared" si="5"/>
        <v>770</v>
      </c>
      <c r="Q42" s="161">
        <f t="shared" si="23"/>
        <v>498.44</v>
      </c>
      <c r="R42" s="161">
        <f t="shared" si="24"/>
        <v>383.81</v>
      </c>
      <c r="S42" s="161">
        <f t="shared" si="25"/>
        <v>383.81</v>
      </c>
      <c r="T42" s="161">
        <f t="shared" si="26"/>
        <v>294.32</v>
      </c>
      <c r="U42" s="479">
        <f t="shared" si="27"/>
        <v>770</v>
      </c>
      <c r="V42" s="478">
        <f t="shared" si="28"/>
        <v>383.81</v>
      </c>
      <c r="W42" s="99"/>
      <c r="X42" s="157">
        <f t="shared" si="1"/>
        <v>670</v>
      </c>
      <c r="Y42" s="158">
        <f t="shared" si="17"/>
        <v>272.45999999999998</v>
      </c>
      <c r="Z42" s="158">
        <f t="shared" si="18"/>
        <v>210.26</v>
      </c>
      <c r="AA42" s="158">
        <f t="shared" si="19"/>
        <v>210.26</v>
      </c>
      <c r="AB42" s="158">
        <f t="shared" si="20"/>
        <v>154.27000000000001</v>
      </c>
      <c r="AC42" s="479">
        <f t="shared" si="21"/>
        <v>670</v>
      </c>
      <c r="AD42" s="478">
        <f t="shared" si="22"/>
        <v>210.26</v>
      </c>
    </row>
    <row r="43" spans="1:30">
      <c r="A43" s="295"/>
      <c r="B43" s="296"/>
      <c r="C43" s="296"/>
      <c r="D43" s="96"/>
      <c r="E43" s="96"/>
      <c r="F43" s="96"/>
      <c r="G43" s="96"/>
      <c r="H43" s="96"/>
      <c r="I43" s="96"/>
      <c r="J43" s="96"/>
      <c r="K43" s="96"/>
      <c r="L43" s="382"/>
      <c r="M43" s="383"/>
      <c r="N43" s="45"/>
      <c r="O43" s="100"/>
      <c r="P43" s="157">
        <f t="shared" si="5"/>
        <v>780</v>
      </c>
      <c r="Q43" s="161">
        <f t="shared" si="23"/>
        <v>492.71</v>
      </c>
      <c r="R43" s="161">
        <f t="shared" si="24"/>
        <v>379.17</v>
      </c>
      <c r="S43" s="161">
        <f t="shared" si="25"/>
        <v>379.17</v>
      </c>
      <c r="T43" s="161">
        <f t="shared" si="26"/>
        <v>290.02</v>
      </c>
      <c r="U43" s="479">
        <f t="shared" si="27"/>
        <v>780</v>
      </c>
      <c r="V43" s="478">
        <f t="shared" si="28"/>
        <v>379.17</v>
      </c>
      <c r="W43" s="99"/>
      <c r="X43" s="157">
        <f t="shared" si="1"/>
        <v>680</v>
      </c>
      <c r="Y43" s="158">
        <f t="shared" si="17"/>
        <v>267.36</v>
      </c>
      <c r="Z43" s="158">
        <f t="shared" si="18"/>
        <v>206.24</v>
      </c>
      <c r="AA43" s="158">
        <f t="shared" si="19"/>
        <v>206.24</v>
      </c>
      <c r="AB43" s="158">
        <f t="shared" si="20"/>
        <v>150.79</v>
      </c>
      <c r="AC43" s="479">
        <f t="shared" si="21"/>
        <v>680</v>
      </c>
      <c r="AD43" s="478">
        <f t="shared" si="22"/>
        <v>206.24</v>
      </c>
    </row>
    <row r="44" spans="1:30">
      <c r="A44" s="295"/>
      <c r="B44" s="296"/>
      <c r="C44" s="296"/>
      <c r="D44" s="96"/>
      <c r="E44" s="96"/>
      <c r="F44" s="96"/>
      <c r="G44" s="96"/>
      <c r="H44" s="96"/>
      <c r="I44" s="96"/>
      <c r="J44" s="96"/>
      <c r="K44" s="96"/>
      <c r="L44" s="382"/>
      <c r="M44" s="383"/>
      <c r="N44" s="45"/>
      <c r="O44" s="100"/>
      <c r="P44" s="157">
        <f t="shared" si="5"/>
        <v>790</v>
      </c>
      <c r="Q44" s="161">
        <f t="shared" si="23"/>
        <v>487</v>
      </c>
      <c r="R44" s="161">
        <f t="shared" si="24"/>
        <v>374.57</v>
      </c>
      <c r="S44" s="161">
        <f t="shared" si="25"/>
        <v>374.57</v>
      </c>
      <c r="T44" s="161">
        <f t="shared" si="26"/>
        <v>285.76</v>
      </c>
      <c r="U44" s="479">
        <f t="shared" si="27"/>
        <v>790</v>
      </c>
      <c r="V44" s="478">
        <f t="shared" si="28"/>
        <v>374.57</v>
      </c>
      <c r="W44" s="99"/>
      <c r="X44" s="157">
        <f t="shared" si="1"/>
        <v>690</v>
      </c>
      <c r="Y44" s="158">
        <f t="shared" si="17"/>
        <v>262.33999999999997</v>
      </c>
      <c r="Z44" s="158">
        <f t="shared" si="18"/>
        <v>202.27</v>
      </c>
      <c r="AA44" s="158">
        <f t="shared" si="19"/>
        <v>202.27</v>
      </c>
      <c r="AB44" s="158">
        <f t="shared" si="20"/>
        <v>147.37</v>
      </c>
      <c r="AC44" s="479">
        <f t="shared" si="21"/>
        <v>690</v>
      </c>
      <c r="AD44" s="478">
        <f t="shared" si="22"/>
        <v>202.27</v>
      </c>
    </row>
    <row r="45" spans="1:30">
      <c r="A45" s="45"/>
      <c r="B45" s="45"/>
      <c r="C45" s="45"/>
      <c r="D45" s="45"/>
      <c r="E45" s="45"/>
      <c r="F45" s="45"/>
      <c r="G45" s="45"/>
      <c r="H45" s="45"/>
      <c r="I45" s="45"/>
      <c r="J45" s="45"/>
      <c r="K45" s="45"/>
      <c r="L45" s="45"/>
      <c r="M45" s="383"/>
      <c r="N45" s="45"/>
      <c r="O45" s="100"/>
      <c r="P45" s="157">
        <f t="shared" si="5"/>
        <v>800</v>
      </c>
      <c r="Q45" s="161">
        <f t="shared" si="23"/>
        <v>481.32</v>
      </c>
      <c r="R45" s="161">
        <f t="shared" si="24"/>
        <v>370</v>
      </c>
      <c r="S45" s="161">
        <f t="shared" si="25"/>
        <v>370</v>
      </c>
      <c r="T45" s="161">
        <f t="shared" si="26"/>
        <v>281.54000000000002</v>
      </c>
      <c r="U45" s="479">
        <f t="shared" si="27"/>
        <v>800</v>
      </c>
      <c r="V45" s="478">
        <f t="shared" si="28"/>
        <v>370</v>
      </c>
      <c r="W45" s="99"/>
      <c r="X45" s="157">
        <f t="shared" si="1"/>
        <v>700</v>
      </c>
      <c r="Y45" s="158">
        <f t="shared" si="17"/>
        <v>257.38</v>
      </c>
      <c r="Z45" s="158">
        <f t="shared" si="18"/>
        <v>198.35</v>
      </c>
      <c r="AA45" s="158">
        <f t="shared" si="19"/>
        <v>198.35</v>
      </c>
      <c r="AB45" s="158">
        <f t="shared" si="20"/>
        <v>144.01</v>
      </c>
      <c r="AC45" s="479">
        <f t="shared" si="21"/>
        <v>700</v>
      </c>
      <c r="AD45" s="478">
        <f t="shared" si="22"/>
        <v>198.35</v>
      </c>
    </row>
    <row r="46" spans="1:30">
      <c r="A46" s="380"/>
      <c r="B46" s="380"/>
      <c r="C46" s="384"/>
      <c r="D46" s="380"/>
      <c r="E46" s="380"/>
      <c r="F46" s="384"/>
      <c r="G46" s="380"/>
      <c r="H46" s="380"/>
      <c r="I46" s="385"/>
      <c r="J46" s="45"/>
      <c r="K46" s="45"/>
      <c r="L46" s="45"/>
      <c r="M46" s="45"/>
      <c r="N46" s="45"/>
      <c r="O46" s="105"/>
      <c r="P46" s="157">
        <f t="shared" si="5"/>
        <v>810</v>
      </c>
      <c r="Q46" s="161">
        <f t="shared" si="23"/>
        <v>475.66</v>
      </c>
      <c r="R46" s="161">
        <f t="shared" si="24"/>
        <v>365.46</v>
      </c>
      <c r="S46" s="161">
        <f t="shared" si="25"/>
        <v>365.46</v>
      </c>
      <c r="T46" s="161">
        <f t="shared" si="26"/>
        <v>277.36</v>
      </c>
      <c r="U46" s="479">
        <f t="shared" si="27"/>
        <v>810</v>
      </c>
      <c r="V46" s="478">
        <f t="shared" si="28"/>
        <v>365.46</v>
      </c>
      <c r="W46" s="97"/>
      <c r="X46" s="157">
        <f t="shared" si="1"/>
        <v>710</v>
      </c>
      <c r="Y46" s="158">
        <f t="shared" si="17"/>
        <v>252.49</v>
      </c>
      <c r="Z46" s="158">
        <f t="shared" si="18"/>
        <v>194.48</v>
      </c>
      <c r="AA46" s="158">
        <f t="shared" si="19"/>
        <v>194.48</v>
      </c>
      <c r="AB46" s="158">
        <f t="shared" si="20"/>
        <v>140.71</v>
      </c>
      <c r="AC46" s="479">
        <f t="shared" si="21"/>
        <v>710</v>
      </c>
      <c r="AD46" s="478">
        <f t="shared" si="22"/>
        <v>194.48</v>
      </c>
    </row>
    <row r="47" spans="1:30">
      <c r="A47" s="45"/>
      <c r="B47" s="45"/>
      <c r="C47" s="45"/>
      <c r="D47" s="45"/>
      <c r="E47" s="277"/>
      <c r="F47" s="45"/>
      <c r="G47" s="45"/>
      <c r="H47" s="45"/>
      <c r="I47" s="45"/>
      <c r="J47" s="45"/>
      <c r="K47" s="45"/>
      <c r="L47" s="45"/>
      <c r="M47" s="45"/>
      <c r="N47" s="45"/>
      <c r="O47" s="105"/>
      <c r="P47" s="157">
        <f t="shared" si="5"/>
        <v>820</v>
      </c>
      <c r="Q47" s="161">
        <f t="shared" si="23"/>
        <v>470.03</v>
      </c>
      <c r="R47" s="161">
        <f t="shared" si="24"/>
        <v>360.96</v>
      </c>
      <c r="S47" s="161">
        <f t="shared" si="25"/>
        <v>360.96</v>
      </c>
      <c r="T47" s="161">
        <f t="shared" si="26"/>
        <v>273.20999999999998</v>
      </c>
      <c r="U47" s="479">
        <f t="shared" si="27"/>
        <v>820</v>
      </c>
      <c r="V47" s="478">
        <f t="shared" si="28"/>
        <v>360.96</v>
      </c>
      <c r="W47" s="97"/>
      <c r="X47" s="157">
        <f t="shared" si="1"/>
        <v>720</v>
      </c>
      <c r="Y47" s="158">
        <f t="shared" si="17"/>
        <v>247.66</v>
      </c>
      <c r="Z47" s="158">
        <f t="shared" si="18"/>
        <v>190.67</v>
      </c>
      <c r="AA47" s="158">
        <f t="shared" si="19"/>
        <v>190.67</v>
      </c>
      <c r="AB47" s="158">
        <f t="shared" si="20"/>
        <v>137.47999999999999</v>
      </c>
      <c r="AC47" s="479">
        <f t="shared" si="21"/>
        <v>720</v>
      </c>
      <c r="AD47" s="478">
        <f t="shared" si="22"/>
        <v>190.67</v>
      </c>
    </row>
    <row r="48" spans="1:30">
      <c r="A48" s="45"/>
      <c r="B48" s="45"/>
      <c r="C48" s="45"/>
      <c r="D48" s="45"/>
      <c r="E48" s="45"/>
      <c r="F48" s="45"/>
      <c r="G48" s="45"/>
      <c r="H48" s="45"/>
      <c r="I48" s="45"/>
      <c r="J48" s="45"/>
      <c r="K48" s="45"/>
      <c r="L48" s="45"/>
      <c r="M48" s="45"/>
      <c r="N48" s="45"/>
      <c r="O48" s="105"/>
      <c r="P48" s="157">
        <f t="shared" si="5"/>
        <v>830</v>
      </c>
      <c r="Q48" s="161">
        <f t="shared" si="23"/>
        <v>464.43</v>
      </c>
      <c r="R48" s="161">
        <f t="shared" si="24"/>
        <v>356.49</v>
      </c>
      <c r="S48" s="161">
        <f t="shared" si="25"/>
        <v>356.49</v>
      </c>
      <c r="T48" s="161">
        <f t="shared" si="26"/>
        <v>269.11</v>
      </c>
      <c r="U48" s="479">
        <f t="shared" si="27"/>
        <v>830</v>
      </c>
      <c r="V48" s="478">
        <f t="shared" si="28"/>
        <v>356.49</v>
      </c>
      <c r="W48" s="97"/>
      <c r="X48" s="157">
        <f t="shared" si="1"/>
        <v>730</v>
      </c>
      <c r="Y48" s="158">
        <f t="shared" si="17"/>
        <v>242.91</v>
      </c>
      <c r="Z48" s="158">
        <f t="shared" si="18"/>
        <v>186.91</v>
      </c>
      <c r="AA48" s="158">
        <f t="shared" si="19"/>
        <v>186.91</v>
      </c>
      <c r="AB48" s="158">
        <f t="shared" si="20"/>
        <v>134.31</v>
      </c>
      <c r="AC48" s="479">
        <f t="shared" si="21"/>
        <v>730</v>
      </c>
      <c r="AD48" s="478">
        <f t="shared" si="22"/>
        <v>186.91</v>
      </c>
    </row>
    <row r="49" spans="1:30">
      <c r="A49" s="45"/>
      <c r="B49" s="45"/>
      <c r="C49" s="45"/>
      <c r="D49" s="45"/>
      <c r="E49" s="45"/>
      <c r="F49" s="45"/>
      <c r="G49" s="45"/>
      <c r="H49" s="45"/>
      <c r="I49" s="45"/>
      <c r="J49" s="45"/>
      <c r="K49" s="45"/>
      <c r="L49" s="45"/>
      <c r="M49" s="45"/>
      <c r="N49" s="45"/>
      <c r="O49" s="105"/>
      <c r="P49" s="157">
        <f t="shared" si="5"/>
        <v>840</v>
      </c>
      <c r="Q49" s="161">
        <f t="shared" si="23"/>
        <v>458.85</v>
      </c>
      <c r="R49" s="161">
        <f t="shared" si="24"/>
        <v>352.06</v>
      </c>
      <c r="S49" s="161">
        <f t="shared" si="25"/>
        <v>352.06</v>
      </c>
      <c r="T49" s="161">
        <f t="shared" si="26"/>
        <v>265.05</v>
      </c>
      <c r="U49" s="479">
        <f t="shared" si="27"/>
        <v>840</v>
      </c>
      <c r="V49" s="478">
        <f t="shared" si="28"/>
        <v>352.06</v>
      </c>
      <c r="W49" s="97"/>
      <c r="X49" s="157">
        <f t="shared" si="1"/>
        <v>740</v>
      </c>
      <c r="Y49" s="158">
        <f t="shared" si="17"/>
        <v>238.23</v>
      </c>
      <c r="Z49" s="158">
        <f t="shared" si="18"/>
        <v>183.21</v>
      </c>
      <c r="AA49" s="158">
        <f t="shared" si="19"/>
        <v>183.21</v>
      </c>
      <c r="AB49" s="158">
        <f t="shared" si="20"/>
        <v>131.19999999999999</v>
      </c>
      <c r="AC49" s="479">
        <f t="shared" si="21"/>
        <v>740</v>
      </c>
      <c r="AD49" s="478">
        <f t="shared" si="22"/>
        <v>183.21</v>
      </c>
    </row>
    <row r="50" spans="1:30">
      <c r="A50" s="45"/>
      <c r="B50" s="45"/>
      <c r="C50" s="45"/>
      <c r="D50" s="45"/>
      <c r="E50" s="45"/>
      <c r="F50" s="45"/>
      <c r="G50" s="45"/>
      <c r="H50" s="45"/>
      <c r="I50" s="45"/>
      <c r="J50" s="45"/>
      <c r="K50" s="45"/>
      <c r="L50" s="45"/>
      <c r="M50" s="45"/>
      <c r="N50" s="45"/>
      <c r="O50" s="105"/>
      <c r="P50" s="157">
        <f t="shared" si="5"/>
        <v>850</v>
      </c>
      <c r="Q50" s="161">
        <f t="shared" si="23"/>
        <v>453.31</v>
      </c>
      <c r="R50" s="161">
        <f t="shared" si="24"/>
        <v>347.67</v>
      </c>
      <c r="S50" s="161">
        <f t="shared" si="25"/>
        <v>347.67</v>
      </c>
      <c r="T50" s="161">
        <f t="shared" si="26"/>
        <v>261.02999999999997</v>
      </c>
      <c r="U50" s="479">
        <f t="shared" si="27"/>
        <v>850</v>
      </c>
      <c r="V50" s="478">
        <f t="shared" si="28"/>
        <v>347.67</v>
      </c>
      <c r="W50" s="97"/>
      <c r="X50" s="157">
        <f t="shared" si="1"/>
        <v>750</v>
      </c>
      <c r="Y50" s="158">
        <f t="shared" si="17"/>
        <v>233.61</v>
      </c>
      <c r="Z50" s="158">
        <f t="shared" si="18"/>
        <v>179.56</v>
      </c>
      <c r="AA50" s="158">
        <f t="shared" si="19"/>
        <v>179.56</v>
      </c>
      <c r="AB50" s="158">
        <f t="shared" si="20"/>
        <v>128.16</v>
      </c>
      <c r="AC50" s="479">
        <f t="shared" si="21"/>
        <v>750</v>
      </c>
      <c r="AD50" s="478">
        <f t="shared" si="22"/>
        <v>179.56</v>
      </c>
    </row>
    <row r="51" spans="1:30">
      <c r="A51" s="308"/>
      <c r="B51" s="308"/>
      <c r="C51" s="308"/>
      <c r="D51" s="308"/>
      <c r="E51" s="45"/>
      <c r="F51" s="45"/>
      <c r="G51" s="45"/>
      <c r="H51" s="45"/>
      <c r="I51" s="45"/>
      <c r="J51" s="45"/>
      <c r="K51" s="45"/>
      <c r="L51" s="45"/>
      <c r="M51" s="45"/>
      <c r="N51" s="45"/>
      <c r="O51" s="105"/>
      <c r="P51" s="157">
        <f t="shared" si="5"/>
        <v>860</v>
      </c>
      <c r="Q51" s="161">
        <f t="shared" si="23"/>
        <v>447.8</v>
      </c>
      <c r="R51" s="161">
        <f t="shared" si="24"/>
        <v>343.3</v>
      </c>
      <c r="S51" s="161">
        <f t="shared" si="25"/>
        <v>343.3</v>
      </c>
      <c r="T51" s="161">
        <f t="shared" si="26"/>
        <v>257.05</v>
      </c>
      <c r="U51" s="479">
        <f t="shared" si="27"/>
        <v>860</v>
      </c>
      <c r="V51" s="478">
        <f t="shared" si="28"/>
        <v>343.3</v>
      </c>
      <c r="W51" s="97"/>
      <c r="X51" s="157">
        <f t="shared" si="1"/>
        <v>760</v>
      </c>
      <c r="Y51" s="158">
        <f t="shared" si="17"/>
        <v>229.07</v>
      </c>
      <c r="Z51" s="158">
        <f t="shared" si="18"/>
        <v>175.97</v>
      </c>
      <c r="AA51" s="158">
        <f t="shared" si="19"/>
        <v>175.97</v>
      </c>
      <c r="AB51" s="158">
        <f t="shared" si="20"/>
        <v>125.19</v>
      </c>
      <c r="AC51" s="479">
        <f t="shared" si="21"/>
        <v>760</v>
      </c>
      <c r="AD51" s="478">
        <f t="shared" si="22"/>
        <v>175.97</v>
      </c>
    </row>
    <row r="52" spans="1:30">
      <c r="A52" s="311"/>
      <c r="B52" s="311"/>
      <c r="C52" s="311"/>
      <c r="D52" s="311"/>
      <c r="E52" s="45"/>
      <c r="F52" s="45"/>
      <c r="G52" s="45"/>
      <c r="H52" s="45"/>
      <c r="I52" s="45"/>
      <c r="J52" s="45"/>
      <c r="K52" s="45"/>
      <c r="L52" s="45"/>
      <c r="M52" s="45"/>
      <c r="N52" s="45"/>
      <c r="O52" s="105"/>
      <c r="P52" s="157">
        <f t="shared" si="5"/>
        <v>870</v>
      </c>
      <c r="Q52" s="161">
        <f t="shared" si="23"/>
        <v>442.32</v>
      </c>
      <c r="R52" s="161">
        <f t="shared" si="24"/>
        <v>338.98</v>
      </c>
      <c r="S52" s="161">
        <f t="shared" si="25"/>
        <v>338.98</v>
      </c>
      <c r="T52" s="161">
        <f t="shared" si="26"/>
        <v>253.11</v>
      </c>
      <c r="U52" s="479">
        <f t="shared" si="27"/>
        <v>870</v>
      </c>
      <c r="V52" s="478">
        <f t="shared" si="28"/>
        <v>338.98</v>
      </c>
      <c r="W52" s="97"/>
      <c r="X52" s="157">
        <f t="shared" si="1"/>
        <v>770</v>
      </c>
      <c r="Y52" s="158">
        <f t="shared" si="17"/>
        <v>224.59</v>
      </c>
      <c r="Z52" s="158">
        <f t="shared" si="18"/>
        <v>172.44</v>
      </c>
      <c r="AA52" s="158">
        <f t="shared" si="19"/>
        <v>172.44</v>
      </c>
      <c r="AB52" s="158">
        <f t="shared" si="20"/>
        <v>122.29</v>
      </c>
      <c r="AC52" s="479">
        <f t="shared" si="21"/>
        <v>770</v>
      </c>
      <c r="AD52" s="478">
        <f t="shared" si="22"/>
        <v>172.44</v>
      </c>
    </row>
    <row r="53" spans="1:30">
      <c r="A53" s="295"/>
      <c r="B53" s="386"/>
      <c r="C53" s="386"/>
      <c r="D53" s="383"/>
      <c r="E53" s="45"/>
      <c r="F53" s="45"/>
      <c r="G53" s="45"/>
      <c r="H53" s="45"/>
      <c r="I53" s="45"/>
      <c r="J53" s="45"/>
      <c r="K53" s="45"/>
      <c r="L53" s="45"/>
      <c r="M53" s="45"/>
      <c r="N53" s="45"/>
      <c r="O53" s="105"/>
      <c r="P53" s="157">
        <f t="shared" si="5"/>
        <v>880</v>
      </c>
      <c r="Q53" s="161">
        <f t="shared" si="23"/>
        <v>436.88</v>
      </c>
      <c r="R53" s="161">
        <f t="shared" si="24"/>
        <v>334.69</v>
      </c>
      <c r="S53" s="161">
        <f t="shared" si="25"/>
        <v>334.69</v>
      </c>
      <c r="T53" s="161">
        <f t="shared" si="26"/>
        <v>249.22</v>
      </c>
      <c r="U53" s="479">
        <f t="shared" si="27"/>
        <v>880</v>
      </c>
      <c r="V53" s="478">
        <f t="shared" si="28"/>
        <v>334.69</v>
      </c>
      <c r="W53" s="97"/>
      <c r="X53" s="157">
        <f t="shared" si="1"/>
        <v>780</v>
      </c>
      <c r="Y53" s="158">
        <f t="shared" si="17"/>
        <v>220.19</v>
      </c>
      <c r="Z53" s="158">
        <f t="shared" si="18"/>
        <v>168.97</v>
      </c>
      <c r="AA53" s="158">
        <f t="shared" si="19"/>
        <v>168.97</v>
      </c>
      <c r="AB53" s="158">
        <f t="shared" si="20"/>
        <v>119.45</v>
      </c>
      <c r="AC53" s="479">
        <f t="shared" si="21"/>
        <v>780</v>
      </c>
      <c r="AD53" s="478">
        <f t="shared" si="22"/>
        <v>168.97</v>
      </c>
    </row>
    <row r="54" spans="1:30">
      <c r="A54" s="295"/>
      <c r="B54" s="386"/>
      <c r="C54" s="386"/>
      <c r="D54" s="383"/>
      <c r="E54" s="45"/>
      <c r="F54" s="45"/>
      <c r="G54" s="45"/>
      <c r="H54" s="45"/>
      <c r="I54" s="45"/>
      <c r="J54" s="45"/>
      <c r="K54" s="45"/>
      <c r="L54" s="45"/>
      <c r="M54" s="45"/>
      <c r="N54" s="45"/>
      <c r="O54" s="105"/>
      <c r="P54" s="157">
        <f t="shared" si="5"/>
        <v>890</v>
      </c>
      <c r="Q54" s="161">
        <f t="shared" si="23"/>
        <v>431.47</v>
      </c>
      <c r="R54" s="161">
        <f t="shared" si="24"/>
        <v>330.43</v>
      </c>
      <c r="S54" s="161">
        <f t="shared" si="25"/>
        <v>330.43</v>
      </c>
      <c r="T54" s="161">
        <f t="shared" si="26"/>
        <v>245.37</v>
      </c>
      <c r="U54" s="479">
        <f t="shared" si="27"/>
        <v>890</v>
      </c>
      <c r="V54" s="478">
        <f t="shared" si="28"/>
        <v>330.43</v>
      </c>
      <c r="W54" s="97"/>
      <c r="X54" s="157">
        <f t="shared" si="1"/>
        <v>790</v>
      </c>
      <c r="Y54" s="158">
        <f t="shared" si="17"/>
        <v>215.85</v>
      </c>
      <c r="Z54" s="158">
        <f t="shared" si="18"/>
        <v>165.56</v>
      </c>
      <c r="AA54" s="158">
        <f t="shared" si="19"/>
        <v>165.56</v>
      </c>
      <c r="AB54" s="158">
        <f t="shared" si="20"/>
        <v>116.69</v>
      </c>
      <c r="AC54" s="479">
        <f t="shared" si="21"/>
        <v>790</v>
      </c>
      <c r="AD54" s="478">
        <f t="shared" si="22"/>
        <v>165.56</v>
      </c>
    </row>
    <row r="55" spans="1:30">
      <c r="A55" s="295"/>
      <c r="B55" s="386"/>
      <c r="C55" s="386"/>
      <c r="D55" s="383"/>
      <c r="E55" s="45"/>
      <c r="F55" s="45"/>
      <c r="G55" s="45"/>
      <c r="H55" s="45"/>
      <c r="I55" s="45"/>
      <c r="J55" s="45"/>
      <c r="K55" s="45"/>
      <c r="L55" s="45"/>
      <c r="M55" s="45"/>
      <c r="N55" s="45"/>
      <c r="O55" s="105"/>
      <c r="P55" s="157">
        <f t="shared" si="5"/>
        <v>900</v>
      </c>
      <c r="Q55" s="161">
        <f t="shared" si="23"/>
        <v>426.09</v>
      </c>
      <c r="R55" s="161">
        <f t="shared" si="24"/>
        <v>326.22000000000003</v>
      </c>
      <c r="S55" s="161">
        <f t="shared" si="25"/>
        <v>326.22000000000003</v>
      </c>
      <c r="T55" s="161">
        <f t="shared" si="26"/>
        <v>241.57</v>
      </c>
      <c r="U55" s="479">
        <f t="shared" si="27"/>
        <v>900</v>
      </c>
      <c r="V55" s="478">
        <f t="shared" si="28"/>
        <v>326.22000000000003</v>
      </c>
      <c r="W55" s="97"/>
      <c r="X55" s="157">
        <f t="shared" si="1"/>
        <v>800</v>
      </c>
      <c r="Y55" s="158">
        <f t="shared" si="17"/>
        <v>211.58</v>
      </c>
      <c r="Z55" s="158">
        <f t="shared" si="18"/>
        <v>162.21</v>
      </c>
      <c r="AA55" s="158">
        <f t="shared" si="19"/>
        <v>162.21</v>
      </c>
      <c r="AB55" s="158">
        <f t="shared" si="20"/>
        <v>114</v>
      </c>
      <c r="AC55" s="479">
        <f t="shared" si="21"/>
        <v>800</v>
      </c>
      <c r="AD55" s="478">
        <f t="shared" si="22"/>
        <v>162.21</v>
      </c>
    </row>
    <row r="56" spans="1:30">
      <c r="A56" s="295"/>
      <c r="B56" s="386"/>
      <c r="C56" s="386"/>
      <c r="D56" s="383"/>
      <c r="E56" s="45"/>
      <c r="F56" s="45"/>
      <c r="G56" s="45"/>
      <c r="H56" s="45"/>
      <c r="I56" s="45"/>
      <c r="J56" s="45"/>
      <c r="K56" s="45"/>
      <c r="L56" s="45"/>
      <c r="M56" s="45"/>
      <c r="N56" s="45"/>
      <c r="O56" s="105"/>
      <c r="P56" s="157">
        <f t="shared" si="5"/>
        <v>910</v>
      </c>
      <c r="Q56" s="161">
        <f t="shared" si="23"/>
        <v>420.75</v>
      </c>
      <c r="R56" s="161">
        <f t="shared" si="24"/>
        <v>322.04000000000002</v>
      </c>
      <c r="S56" s="161">
        <f t="shared" si="25"/>
        <v>322.04000000000002</v>
      </c>
      <c r="T56" s="161">
        <f t="shared" si="26"/>
        <v>237.81</v>
      </c>
      <c r="U56" s="479">
        <f t="shared" si="27"/>
        <v>910</v>
      </c>
      <c r="V56" s="478">
        <f t="shared" si="28"/>
        <v>322.04000000000002</v>
      </c>
      <c r="W56" s="97"/>
      <c r="X56" s="157">
        <f t="shared" si="1"/>
        <v>810</v>
      </c>
      <c r="Y56" s="158">
        <f t="shared" si="17"/>
        <v>207.38</v>
      </c>
      <c r="Z56" s="158">
        <f t="shared" si="18"/>
        <v>158.91999999999999</v>
      </c>
      <c r="AA56" s="158">
        <f t="shared" si="19"/>
        <v>158.91999999999999</v>
      </c>
      <c r="AB56" s="158">
        <f t="shared" si="20"/>
        <v>111.38</v>
      </c>
      <c r="AC56" s="479">
        <f t="shared" si="21"/>
        <v>810</v>
      </c>
      <c r="AD56" s="478">
        <f t="shared" si="22"/>
        <v>158.91999999999999</v>
      </c>
    </row>
    <row r="57" spans="1:30">
      <c r="A57" s="295"/>
      <c r="B57" s="386"/>
      <c r="C57" s="386"/>
      <c r="D57" s="383"/>
      <c r="E57" s="45"/>
      <c r="F57" s="45"/>
      <c r="G57" s="45"/>
      <c r="H57" s="45"/>
      <c r="I57" s="45"/>
      <c r="J57" s="45"/>
      <c r="K57" s="45"/>
      <c r="L57" s="45"/>
      <c r="M57" s="45"/>
      <c r="N57" s="45"/>
      <c r="O57" s="105"/>
      <c r="P57" s="157">
        <f t="shared" si="5"/>
        <v>920</v>
      </c>
      <c r="Q57" s="161">
        <f t="shared" si="23"/>
        <v>415.45</v>
      </c>
      <c r="R57" s="161">
        <f t="shared" si="24"/>
        <v>317.89</v>
      </c>
      <c r="S57" s="161">
        <f t="shared" si="25"/>
        <v>317.89</v>
      </c>
      <c r="T57" s="161">
        <f t="shared" si="26"/>
        <v>234.1</v>
      </c>
      <c r="U57" s="479">
        <f t="shared" si="27"/>
        <v>920</v>
      </c>
      <c r="V57" s="478">
        <f t="shared" si="28"/>
        <v>317.89</v>
      </c>
      <c r="W57" s="97"/>
      <c r="X57" s="157">
        <f t="shared" si="1"/>
        <v>820</v>
      </c>
      <c r="Y57" s="158">
        <f t="shared" si="17"/>
        <v>203.25</v>
      </c>
      <c r="Z57" s="158">
        <f t="shared" si="18"/>
        <v>155.69</v>
      </c>
      <c r="AA57" s="158">
        <f t="shared" si="19"/>
        <v>155.69</v>
      </c>
      <c r="AB57" s="158">
        <f t="shared" si="20"/>
        <v>108.84</v>
      </c>
      <c r="AC57" s="479">
        <f t="shared" si="21"/>
        <v>820</v>
      </c>
      <c r="AD57" s="478">
        <f t="shared" si="22"/>
        <v>155.69</v>
      </c>
    </row>
    <row r="58" spans="1:30">
      <c r="A58" s="295"/>
      <c r="B58" s="386"/>
      <c r="C58" s="386"/>
      <c r="D58" s="383"/>
      <c r="E58" s="45"/>
      <c r="F58" s="45"/>
      <c r="G58" s="45"/>
      <c r="H58" s="45"/>
      <c r="I58" s="45"/>
      <c r="J58" s="45"/>
      <c r="K58" s="45"/>
      <c r="L58" s="45"/>
      <c r="M58" s="45"/>
      <c r="N58" s="45"/>
      <c r="O58" s="105"/>
      <c r="P58" s="157">
        <f t="shared" si="5"/>
        <v>930</v>
      </c>
      <c r="Q58" s="161">
        <f t="shared" si="23"/>
        <v>410.19</v>
      </c>
      <c r="R58" s="161">
        <f t="shared" si="24"/>
        <v>313.77999999999997</v>
      </c>
      <c r="S58" s="161">
        <f t="shared" si="25"/>
        <v>313.77999999999997</v>
      </c>
      <c r="T58" s="161">
        <f t="shared" si="26"/>
        <v>230.43</v>
      </c>
      <c r="U58" s="479">
        <f t="shared" si="27"/>
        <v>930</v>
      </c>
      <c r="V58" s="478">
        <f t="shared" si="28"/>
        <v>313.77999999999997</v>
      </c>
      <c r="W58" s="97"/>
      <c r="X58" s="157">
        <f t="shared" si="1"/>
        <v>830</v>
      </c>
      <c r="Y58" s="158">
        <f t="shared" si="17"/>
        <v>199.19</v>
      </c>
      <c r="Z58" s="158">
        <f t="shared" si="18"/>
        <v>152.52000000000001</v>
      </c>
      <c r="AA58" s="158">
        <f t="shared" si="19"/>
        <v>152.52000000000001</v>
      </c>
      <c r="AB58" s="158">
        <f t="shared" si="20"/>
        <v>106.38</v>
      </c>
      <c r="AC58" s="479">
        <f t="shared" si="21"/>
        <v>830</v>
      </c>
      <c r="AD58" s="478">
        <f t="shared" si="22"/>
        <v>152.52000000000001</v>
      </c>
    </row>
    <row r="59" spans="1:30">
      <c r="A59" s="295"/>
      <c r="B59" s="386"/>
      <c r="C59" s="386"/>
      <c r="D59" s="383"/>
      <c r="E59" s="45"/>
      <c r="F59" s="45"/>
      <c r="G59" s="45"/>
      <c r="H59" s="45"/>
      <c r="I59" s="45"/>
      <c r="J59" s="45"/>
      <c r="K59" s="45"/>
      <c r="L59" s="45"/>
      <c r="M59" s="45"/>
      <c r="N59" s="45"/>
      <c r="O59" s="105"/>
      <c r="P59" s="157">
        <f t="shared" si="5"/>
        <v>940</v>
      </c>
      <c r="Q59" s="161">
        <f t="shared" si="23"/>
        <v>404.96</v>
      </c>
      <c r="R59" s="161">
        <f t="shared" si="24"/>
        <v>309.70999999999998</v>
      </c>
      <c r="S59" s="161">
        <f t="shared" si="25"/>
        <v>309.70999999999998</v>
      </c>
      <c r="T59" s="161">
        <f t="shared" si="26"/>
        <v>226.81</v>
      </c>
      <c r="U59" s="479">
        <f t="shared" si="27"/>
        <v>940</v>
      </c>
      <c r="V59" s="478">
        <f t="shared" si="28"/>
        <v>309.70999999999998</v>
      </c>
      <c r="W59" s="97"/>
      <c r="X59" s="157">
        <f t="shared" si="1"/>
        <v>840</v>
      </c>
      <c r="Y59" s="158">
        <f t="shared" si="17"/>
        <v>195.2</v>
      </c>
      <c r="Z59" s="158">
        <f t="shared" si="18"/>
        <v>149.41999999999999</v>
      </c>
      <c r="AA59" s="158">
        <f t="shared" si="19"/>
        <v>149.41999999999999</v>
      </c>
      <c r="AB59" s="158">
        <f t="shared" si="20"/>
        <v>103.99</v>
      </c>
      <c r="AC59" s="479">
        <f t="shared" si="21"/>
        <v>840</v>
      </c>
      <c r="AD59" s="478">
        <f t="shared" si="22"/>
        <v>149.41999999999999</v>
      </c>
    </row>
    <row r="60" spans="1:30">
      <c r="A60" s="295"/>
      <c r="B60" s="386"/>
      <c r="C60" s="386"/>
      <c r="D60" s="383"/>
      <c r="E60" s="45"/>
      <c r="F60" s="45"/>
      <c r="G60" s="45"/>
      <c r="H60" s="45"/>
      <c r="I60" s="45"/>
      <c r="J60" s="45"/>
      <c r="K60" s="45"/>
      <c r="L60" s="45"/>
      <c r="M60" s="45"/>
      <c r="N60" s="45"/>
      <c r="O60" s="105"/>
      <c r="P60" s="157">
        <f t="shared" si="5"/>
        <v>950</v>
      </c>
      <c r="Q60" s="161">
        <f t="shared" si="23"/>
        <v>399.78</v>
      </c>
      <c r="R60" s="161">
        <f t="shared" si="24"/>
        <v>305.68</v>
      </c>
      <c r="S60" s="161">
        <f t="shared" si="25"/>
        <v>305.68</v>
      </c>
      <c r="T60" s="161">
        <f t="shared" si="26"/>
        <v>223.23</v>
      </c>
      <c r="U60" s="479">
        <f t="shared" si="27"/>
        <v>950</v>
      </c>
      <c r="V60" s="478">
        <f t="shared" si="28"/>
        <v>305.68</v>
      </c>
      <c r="W60" s="97"/>
      <c r="X60" s="157">
        <f t="shared" si="1"/>
        <v>850</v>
      </c>
      <c r="Y60" s="158">
        <f t="shared" si="17"/>
        <v>191.28</v>
      </c>
      <c r="Z60" s="158">
        <f t="shared" si="18"/>
        <v>146.37</v>
      </c>
      <c r="AA60" s="158">
        <f t="shared" si="19"/>
        <v>146.37</v>
      </c>
      <c r="AB60" s="158">
        <f t="shared" si="20"/>
        <v>101.68</v>
      </c>
      <c r="AC60" s="479">
        <f t="shared" si="21"/>
        <v>850</v>
      </c>
      <c r="AD60" s="478">
        <f t="shared" si="22"/>
        <v>146.37</v>
      </c>
    </row>
    <row r="61" spans="1:30">
      <c r="A61" s="295"/>
      <c r="B61" s="386"/>
      <c r="C61" s="386"/>
      <c r="D61" s="383"/>
      <c r="E61" s="45"/>
      <c r="F61" s="45"/>
      <c r="G61" s="45"/>
      <c r="H61" s="45"/>
      <c r="I61" s="45"/>
      <c r="J61" s="45"/>
      <c r="K61" s="45"/>
      <c r="L61" s="45"/>
      <c r="M61" s="45"/>
      <c r="N61" s="45"/>
      <c r="O61" s="105"/>
      <c r="P61" s="157">
        <f t="shared" si="5"/>
        <v>960</v>
      </c>
      <c r="Q61" s="161">
        <f t="shared" si="23"/>
        <v>394.63</v>
      </c>
      <c r="R61" s="161">
        <f t="shared" si="24"/>
        <v>301.69</v>
      </c>
      <c r="S61" s="161">
        <f t="shared" si="25"/>
        <v>301.69</v>
      </c>
      <c r="T61" s="161">
        <f t="shared" si="26"/>
        <v>219.71</v>
      </c>
      <c r="U61" s="479">
        <f t="shared" si="27"/>
        <v>960</v>
      </c>
      <c r="V61" s="478">
        <f t="shared" si="28"/>
        <v>301.69</v>
      </c>
      <c r="W61" s="97"/>
      <c r="X61" s="157">
        <f t="shared" si="1"/>
        <v>860</v>
      </c>
      <c r="Y61" s="158">
        <f t="shared" si="17"/>
        <v>187.43</v>
      </c>
      <c r="Z61" s="158">
        <f t="shared" si="18"/>
        <v>143.38999999999999</v>
      </c>
      <c r="AA61" s="158">
        <f t="shared" si="19"/>
        <v>143.38999999999999</v>
      </c>
      <c r="AB61" s="158">
        <f t="shared" si="20"/>
        <v>99.45</v>
      </c>
      <c r="AC61" s="479">
        <f t="shared" si="21"/>
        <v>860</v>
      </c>
      <c r="AD61" s="478">
        <f t="shared" si="22"/>
        <v>143.38999999999999</v>
      </c>
    </row>
    <row r="62" spans="1:30">
      <c r="A62" s="295"/>
      <c r="B62" s="386"/>
      <c r="C62" s="386"/>
      <c r="D62" s="383"/>
      <c r="E62" s="45"/>
      <c r="F62" s="45"/>
      <c r="G62" s="45"/>
      <c r="H62" s="45"/>
      <c r="I62" s="45"/>
      <c r="J62" s="45"/>
      <c r="K62" s="45"/>
      <c r="L62" s="45"/>
      <c r="M62" s="45"/>
      <c r="N62" s="45"/>
      <c r="O62" s="105"/>
      <c r="P62" s="157">
        <f t="shared" si="5"/>
        <v>970</v>
      </c>
      <c r="Q62" s="161">
        <f t="shared" si="23"/>
        <v>389.53</v>
      </c>
      <c r="R62" s="161">
        <f t="shared" si="24"/>
        <v>297.73</v>
      </c>
      <c r="S62" s="161">
        <f t="shared" si="25"/>
        <v>297.73</v>
      </c>
      <c r="T62" s="161">
        <f t="shared" si="26"/>
        <v>216.23</v>
      </c>
      <c r="U62" s="479">
        <f t="shared" si="27"/>
        <v>970</v>
      </c>
      <c r="V62" s="478">
        <f t="shared" si="28"/>
        <v>297.73</v>
      </c>
      <c r="W62" s="97"/>
      <c r="X62" s="157">
        <f t="shared" si="1"/>
        <v>870</v>
      </c>
      <c r="Y62" s="158">
        <f t="shared" si="17"/>
        <v>183.65</v>
      </c>
      <c r="Z62" s="158">
        <f t="shared" si="18"/>
        <v>140.47</v>
      </c>
      <c r="AA62" s="158">
        <f t="shared" si="19"/>
        <v>140.47</v>
      </c>
      <c r="AB62" s="158">
        <f t="shared" si="20"/>
        <v>97.3</v>
      </c>
      <c r="AC62" s="479">
        <f t="shared" si="21"/>
        <v>870</v>
      </c>
      <c r="AD62" s="478">
        <f t="shared" si="22"/>
        <v>140.47</v>
      </c>
    </row>
    <row r="63" spans="1:30">
      <c r="A63" s="295"/>
      <c r="B63" s="386"/>
      <c r="C63" s="386"/>
      <c r="D63" s="383"/>
      <c r="E63" s="45"/>
      <c r="F63" s="45"/>
      <c r="G63" s="45"/>
      <c r="H63" s="45"/>
      <c r="I63" s="45"/>
      <c r="J63" s="45"/>
      <c r="K63" s="45"/>
      <c r="L63" s="45"/>
      <c r="M63" s="45"/>
      <c r="N63" s="45"/>
      <c r="O63" s="105"/>
      <c r="P63" s="157">
        <f t="shared" si="5"/>
        <v>980</v>
      </c>
      <c r="Q63" s="161">
        <f t="shared" si="23"/>
        <v>384.47</v>
      </c>
      <c r="R63" s="161">
        <f t="shared" si="24"/>
        <v>293.81</v>
      </c>
      <c r="S63" s="161">
        <f t="shared" si="25"/>
        <v>293.81</v>
      </c>
      <c r="T63" s="161">
        <f t="shared" si="26"/>
        <v>212.8</v>
      </c>
      <c r="U63" s="479">
        <f t="shared" si="27"/>
        <v>980</v>
      </c>
      <c r="V63" s="478">
        <f t="shared" si="28"/>
        <v>293.81</v>
      </c>
      <c r="W63" s="97"/>
      <c r="X63" s="157">
        <f t="shared" si="1"/>
        <v>880</v>
      </c>
      <c r="Y63" s="158">
        <f t="shared" si="17"/>
        <v>179.95</v>
      </c>
      <c r="Z63" s="158">
        <f t="shared" si="18"/>
        <v>137.62</v>
      </c>
      <c r="AA63" s="158">
        <f t="shared" si="19"/>
        <v>137.62</v>
      </c>
      <c r="AB63" s="158">
        <f t="shared" si="20"/>
        <v>95.24</v>
      </c>
      <c r="AC63" s="479">
        <f t="shared" si="21"/>
        <v>880</v>
      </c>
      <c r="AD63" s="478">
        <f t="shared" si="22"/>
        <v>137.62</v>
      </c>
    </row>
    <row r="64" spans="1:30">
      <c r="A64" s="295"/>
      <c r="B64" s="386"/>
      <c r="C64" s="386"/>
      <c r="D64" s="383"/>
      <c r="E64" s="45"/>
      <c r="F64" s="45"/>
      <c r="G64" s="45"/>
      <c r="H64" s="45"/>
      <c r="I64" s="45"/>
      <c r="J64" s="45"/>
      <c r="K64" s="45"/>
      <c r="L64" s="45"/>
      <c r="M64" s="45"/>
      <c r="N64" s="45"/>
      <c r="O64" s="105"/>
      <c r="P64" s="157">
        <f t="shared" si="5"/>
        <v>990</v>
      </c>
      <c r="Q64" s="161">
        <f t="shared" si="23"/>
        <v>379.45</v>
      </c>
      <c r="R64" s="161">
        <f t="shared" si="24"/>
        <v>289.93</v>
      </c>
      <c r="S64" s="161">
        <f t="shared" si="25"/>
        <v>289.93</v>
      </c>
      <c r="T64" s="161">
        <f t="shared" si="26"/>
        <v>209.42</v>
      </c>
      <c r="U64" s="479">
        <f t="shared" si="27"/>
        <v>990</v>
      </c>
      <c r="V64" s="478">
        <f t="shared" si="28"/>
        <v>289.93</v>
      </c>
      <c r="W64" s="97"/>
      <c r="X64" s="157">
        <f t="shared" si="1"/>
        <v>890</v>
      </c>
      <c r="Y64" s="158">
        <f t="shared" si="17"/>
        <v>176.31</v>
      </c>
      <c r="Z64" s="158">
        <f t="shared" si="18"/>
        <v>134.82</v>
      </c>
      <c r="AA64" s="158">
        <f t="shared" si="19"/>
        <v>134.82</v>
      </c>
      <c r="AB64" s="158">
        <f t="shared" si="20"/>
        <v>93.26</v>
      </c>
      <c r="AC64" s="479">
        <f t="shared" si="21"/>
        <v>890</v>
      </c>
      <c r="AD64" s="478">
        <f t="shared" si="22"/>
        <v>134.82</v>
      </c>
    </row>
    <row r="65" spans="1:30">
      <c r="A65" s="295"/>
      <c r="B65" s="386"/>
      <c r="C65" s="386"/>
      <c r="D65" s="383"/>
      <c r="E65" s="45"/>
      <c r="F65" s="45"/>
      <c r="G65" s="45"/>
      <c r="H65" s="45"/>
      <c r="I65" s="45"/>
      <c r="J65" s="45"/>
      <c r="K65" s="45"/>
      <c r="L65" s="45"/>
      <c r="M65" s="45"/>
      <c r="N65" s="45"/>
      <c r="O65" s="105"/>
      <c r="P65" s="157">
        <f t="shared" si="5"/>
        <v>1000</v>
      </c>
      <c r="Q65" s="161">
        <f t="shared" si="23"/>
        <v>374.47</v>
      </c>
      <c r="R65" s="161">
        <f t="shared" si="24"/>
        <v>286.08999999999997</v>
      </c>
      <c r="S65" s="161">
        <f t="shared" si="25"/>
        <v>286.08999999999997</v>
      </c>
      <c r="T65" s="161">
        <f t="shared" si="26"/>
        <v>206.08</v>
      </c>
      <c r="U65" s="479">
        <f t="shared" si="27"/>
        <v>1000</v>
      </c>
      <c r="V65" s="478">
        <f t="shared" si="28"/>
        <v>286.08999999999997</v>
      </c>
      <c r="W65" s="97"/>
      <c r="X65" s="157">
        <f t="shared" si="1"/>
        <v>900</v>
      </c>
      <c r="Y65" s="158">
        <f t="shared" si="17"/>
        <v>172.74</v>
      </c>
      <c r="Z65" s="158">
        <f t="shared" si="18"/>
        <v>132.09</v>
      </c>
      <c r="AA65" s="158">
        <f t="shared" si="19"/>
        <v>132.09</v>
      </c>
      <c r="AB65" s="158">
        <f t="shared" si="20"/>
        <v>91.37</v>
      </c>
      <c r="AC65" s="479">
        <f t="shared" si="21"/>
        <v>900</v>
      </c>
      <c r="AD65" s="478">
        <f t="shared" si="22"/>
        <v>132.09</v>
      </c>
    </row>
    <row r="66" spans="1:30">
      <c r="A66" s="295"/>
      <c r="B66" s="386"/>
      <c r="C66" s="386"/>
      <c r="D66" s="383"/>
      <c r="E66" s="45"/>
      <c r="F66" s="45"/>
      <c r="G66" s="45"/>
      <c r="H66" s="45"/>
      <c r="I66" s="45"/>
      <c r="J66" s="45"/>
      <c r="K66" s="45"/>
      <c r="L66" s="45"/>
      <c r="M66" s="45"/>
      <c r="N66" s="45"/>
      <c r="O66" s="105"/>
      <c r="P66" s="157">
        <f t="shared" si="5"/>
        <v>1010</v>
      </c>
      <c r="Q66" s="161">
        <f t="shared" si="23"/>
        <v>369.54</v>
      </c>
      <c r="R66" s="161">
        <f t="shared" si="24"/>
        <v>282.27999999999997</v>
      </c>
      <c r="S66" s="161">
        <f t="shared" si="25"/>
        <v>282.27999999999997</v>
      </c>
      <c r="T66" s="161">
        <f t="shared" si="26"/>
        <v>202.8</v>
      </c>
      <c r="U66" s="479">
        <f t="shared" si="27"/>
        <v>1010</v>
      </c>
      <c r="V66" s="478">
        <f t="shared" si="28"/>
        <v>282.27999999999997</v>
      </c>
      <c r="W66" s="97"/>
      <c r="X66" s="157">
        <f t="shared" si="1"/>
        <v>910</v>
      </c>
      <c r="Y66" s="158">
        <f t="shared" si="17"/>
        <v>169.25</v>
      </c>
      <c r="Z66" s="158">
        <f t="shared" si="18"/>
        <v>129.43</v>
      </c>
      <c r="AA66" s="158">
        <f t="shared" si="19"/>
        <v>129.43</v>
      </c>
      <c r="AB66" s="158">
        <f t="shared" si="20"/>
        <v>89.57</v>
      </c>
      <c r="AC66" s="479">
        <f t="shared" si="21"/>
        <v>910</v>
      </c>
      <c r="AD66" s="478">
        <f t="shared" si="22"/>
        <v>129.43</v>
      </c>
    </row>
    <row r="67" spans="1:30">
      <c r="A67" s="295"/>
      <c r="B67" s="386"/>
      <c r="C67" s="386"/>
      <c r="D67" s="383"/>
      <c r="E67" s="45"/>
      <c r="F67" s="45"/>
      <c r="G67" s="45"/>
      <c r="H67" s="45"/>
      <c r="I67" s="45"/>
      <c r="J67" s="45"/>
      <c r="K67" s="45"/>
      <c r="L67" s="45"/>
      <c r="M67" s="45"/>
      <c r="N67" s="45"/>
      <c r="O67" s="105"/>
      <c r="P67" s="157">
        <f t="shared" si="5"/>
        <v>1020</v>
      </c>
      <c r="Q67" s="161">
        <f t="shared" si="23"/>
        <v>364.66</v>
      </c>
      <c r="R67" s="161">
        <f t="shared" si="24"/>
        <v>278.52</v>
      </c>
      <c r="S67" s="161">
        <f t="shared" si="25"/>
        <v>278.52</v>
      </c>
      <c r="T67" s="161">
        <f t="shared" si="26"/>
        <v>199.56</v>
      </c>
      <c r="U67" s="479">
        <f t="shared" si="27"/>
        <v>1020</v>
      </c>
      <c r="V67" s="478">
        <f t="shared" si="28"/>
        <v>278.52</v>
      </c>
      <c r="W67" s="97"/>
      <c r="X67" s="157">
        <f t="shared" si="1"/>
        <v>920</v>
      </c>
      <c r="Y67" s="158">
        <f t="shared" si="17"/>
        <v>165.82</v>
      </c>
      <c r="Z67" s="158">
        <f t="shared" si="18"/>
        <v>126.83</v>
      </c>
      <c r="AA67" s="158">
        <f t="shared" si="19"/>
        <v>126.83</v>
      </c>
      <c r="AB67" s="158">
        <f t="shared" si="20"/>
        <v>87.86</v>
      </c>
      <c r="AC67" s="479">
        <f t="shared" si="21"/>
        <v>920</v>
      </c>
      <c r="AD67" s="478">
        <f t="shared" si="22"/>
        <v>126.83</v>
      </c>
    </row>
    <row r="68" spans="1:30">
      <c r="A68" s="295"/>
      <c r="B68" s="386"/>
      <c r="C68" s="386"/>
      <c r="D68" s="383"/>
      <c r="E68" s="45"/>
      <c r="F68" s="45"/>
      <c r="G68" s="45"/>
      <c r="H68" s="45"/>
      <c r="I68" s="45"/>
      <c r="J68" s="45"/>
      <c r="K68" s="45"/>
      <c r="L68" s="45"/>
      <c r="M68" s="45"/>
      <c r="N68" s="45"/>
      <c r="O68" s="105"/>
      <c r="P68" s="157">
        <f t="shared" si="5"/>
        <v>1030</v>
      </c>
      <c r="Q68" s="161">
        <f t="shared" si="23"/>
        <v>359.82</v>
      </c>
      <c r="R68" s="161">
        <f t="shared" si="24"/>
        <v>274.79000000000002</v>
      </c>
      <c r="S68" s="161">
        <f t="shared" si="25"/>
        <v>274.79000000000002</v>
      </c>
      <c r="T68" s="161">
        <f t="shared" si="26"/>
        <v>196.38</v>
      </c>
      <c r="U68" s="479">
        <f t="shared" si="27"/>
        <v>1030</v>
      </c>
      <c r="V68" s="478">
        <f t="shared" si="28"/>
        <v>274.79000000000002</v>
      </c>
      <c r="W68" s="97"/>
      <c r="X68" s="157">
        <f t="shared" si="1"/>
        <v>930</v>
      </c>
      <c r="Y68" s="158">
        <f t="shared" si="17"/>
        <v>162.47</v>
      </c>
      <c r="Z68" s="158">
        <f t="shared" si="18"/>
        <v>124.29</v>
      </c>
      <c r="AA68" s="158">
        <f t="shared" si="19"/>
        <v>124.29</v>
      </c>
      <c r="AB68" s="158">
        <f t="shared" si="20"/>
        <v>86.24</v>
      </c>
      <c r="AC68" s="479">
        <f t="shared" si="21"/>
        <v>930</v>
      </c>
      <c r="AD68" s="478">
        <f t="shared" si="22"/>
        <v>124.29</v>
      </c>
    </row>
    <row r="69" spans="1:30">
      <c r="A69" s="295"/>
      <c r="B69" s="386"/>
      <c r="C69" s="386"/>
      <c r="D69" s="383"/>
      <c r="E69" s="45"/>
      <c r="F69" s="45"/>
      <c r="G69" s="45"/>
      <c r="H69" s="45"/>
      <c r="I69" s="45"/>
      <c r="J69" s="45"/>
      <c r="K69" s="45"/>
      <c r="L69" s="45"/>
      <c r="M69" s="45"/>
      <c r="N69" s="45"/>
      <c r="O69" s="105"/>
      <c r="P69" s="157">
        <f t="shared" si="5"/>
        <v>1040</v>
      </c>
      <c r="Q69" s="161">
        <f t="shared" si="23"/>
        <v>355.02</v>
      </c>
      <c r="R69" s="161">
        <f t="shared" si="24"/>
        <v>271.10000000000002</v>
      </c>
      <c r="S69" s="161">
        <f t="shared" si="25"/>
        <v>271.10000000000002</v>
      </c>
      <c r="T69" s="161">
        <f t="shared" si="26"/>
        <v>193.24</v>
      </c>
      <c r="U69" s="479">
        <f t="shared" si="27"/>
        <v>1040</v>
      </c>
      <c r="V69" s="478">
        <f t="shared" si="28"/>
        <v>271.10000000000002</v>
      </c>
      <c r="W69" s="97"/>
      <c r="X69" s="157">
        <f t="shared" si="1"/>
        <v>940</v>
      </c>
      <c r="Y69" s="158">
        <f t="shared" si="17"/>
        <v>159.19</v>
      </c>
      <c r="Z69" s="158">
        <f t="shared" si="18"/>
        <v>121.81</v>
      </c>
      <c r="AA69" s="158">
        <f t="shared" si="19"/>
        <v>121.81</v>
      </c>
      <c r="AB69" s="158">
        <f t="shared" si="20"/>
        <v>84.72</v>
      </c>
      <c r="AC69" s="479">
        <f t="shared" si="21"/>
        <v>940</v>
      </c>
      <c r="AD69" s="478">
        <f t="shared" si="22"/>
        <v>121.81</v>
      </c>
    </row>
    <row r="70" spans="1:30">
      <c r="A70" s="295"/>
      <c r="B70" s="386"/>
      <c r="C70" s="386"/>
      <c r="D70" s="383"/>
      <c r="E70" s="45"/>
      <c r="F70" s="45"/>
      <c r="G70" s="45"/>
      <c r="H70" s="45"/>
      <c r="I70" s="45"/>
      <c r="J70" s="45"/>
      <c r="K70" s="45"/>
      <c r="L70" s="45"/>
      <c r="M70" s="45"/>
      <c r="N70" s="45"/>
      <c r="O70" s="105"/>
      <c r="P70" s="157">
        <f t="shared" ref="P70:P133" si="29">P69+10</f>
        <v>1050</v>
      </c>
      <c r="Q70" s="161">
        <f t="shared" si="23"/>
        <v>350.27</v>
      </c>
      <c r="R70" s="161">
        <f t="shared" si="24"/>
        <v>267.45</v>
      </c>
      <c r="S70" s="161">
        <f t="shared" si="25"/>
        <v>267.45</v>
      </c>
      <c r="T70" s="161">
        <f t="shared" si="26"/>
        <v>190.16</v>
      </c>
      <c r="U70" s="479">
        <f t="shared" si="27"/>
        <v>1050</v>
      </c>
      <c r="V70" s="478">
        <f t="shared" si="28"/>
        <v>267.45</v>
      </c>
      <c r="W70" s="97"/>
      <c r="X70" s="157">
        <f t="shared" si="1"/>
        <v>950</v>
      </c>
      <c r="Y70" s="158">
        <f t="shared" si="17"/>
        <v>155.97999999999999</v>
      </c>
      <c r="Z70" s="158">
        <f t="shared" si="18"/>
        <v>119.4</v>
      </c>
      <c r="AA70" s="158">
        <f t="shared" si="19"/>
        <v>119.4</v>
      </c>
      <c r="AB70" s="158">
        <f t="shared" si="20"/>
        <v>83.29</v>
      </c>
      <c r="AC70" s="479">
        <f t="shared" si="21"/>
        <v>950</v>
      </c>
      <c r="AD70" s="478">
        <f t="shared" si="22"/>
        <v>119.4</v>
      </c>
    </row>
    <row r="71" spans="1:30">
      <c r="A71" s="295"/>
      <c r="B71" s="386"/>
      <c r="C71" s="386"/>
      <c r="D71" s="383"/>
      <c r="E71" s="45"/>
      <c r="F71" s="45"/>
      <c r="G71" s="45"/>
      <c r="H71" s="45"/>
      <c r="I71" s="45"/>
      <c r="J71" s="45"/>
      <c r="K71" s="45"/>
      <c r="L71" s="45"/>
      <c r="M71" s="45"/>
      <c r="N71" s="45"/>
      <c r="O71" s="105"/>
      <c r="P71" s="157">
        <f t="shared" si="29"/>
        <v>1060</v>
      </c>
      <c r="Q71" s="161">
        <f t="shared" si="23"/>
        <v>345.57</v>
      </c>
      <c r="R71" s="161">
        <f t="shared" si="24"/>
        <v>263.83999999999997</v>
      </c>
      <c r="S71" s="161">
        <f t="shared" si="25"/>
        <v>263.83999999999997</v>
      </c>
      <c r="T71" s="161">
        <f t="shared" si="26"/>
        <v>187.13</v>
      </c>
      <c r="U71" s="479">
        <f t="shared" si="27"/>
        <v>1060</v>
      </c>
      <c r="V71" s="478">
        <f t="shared" si="28"/>
        <v>263.83999999999997</v>
      </c>
      <c r="W71" s="97"/>
      <c r="X71" s="157">
        <f t="shared" ref="X71:X105" si="30">X70+10</f>
        <v>960</v>
      </c>
      <c r="Y71" s="158">
        <f t="shared" si="17"/>
        <v>152.85</v>
      </c>
      <c r="Z71" s="158">
        <f t="shared" si="18"/>
        <v>117.05</v>
      </c>
      <c r="AA71" s="158">
        <f t="shared" si="19"/>
        <v>117.05</v>
      </c>
      <c r="AB71" s="158">
        <f t="shared" si="20"/>
        <v>81.96</v>
      </c>
      <c r="AC71" s="479">
        <f t="shared" si="21"/>
        <v>960</v>
      </c>
      <c r="AD71" s="478">
        <f t="shared" si="22"/>
        <v>117.05</v>
      </c>
    </row>
    <row r="72" spans="1:30">
      <c r="A72" s="295"/>
      <c r="B72" s="386"/>
      <c r="C72" s="386"/>
      <c r="D72" s="383"/>
      <c r="E72" s="45"/>
      <c r="F72" s="45"/>
      <c r="G72" s="45"/>
      <c r="H72" s="45"/>
      <c r="I72" s="45"/>
      <c r="J72" s="45"/>
      <c r="K72" s="45"/>
      <c r="L72" s="45"/>
      <c r="M72" s="45"/>
      <c r="N72" s="45"/>
      <c r="O72" s="105"/>
      <c r="P72" s="157">
        <f t="shared" si="29"/>
        <v>1070</v>
      </c>
      <c r="Q72" s="161">
        <f t="shared" si="23"/>
        <v>340.92</v>
      </c>
      <c r="R72" s="161">
        <f t="shared" si="24"/>
        <v>260.27</v>
      </c>
      <c r="S72" s="161">
        <f t="shared" si="25"/>
        <v>260.27</v>
      </c>
      <c r="T72" s="161">
        <f t="shared" si="26"/>
        <v>184.15</v>
      </c>
      <c r="U72" s="479">
        <f t="shared" si="27"/>
        <v>1070</v>
      </c>
      <c r="V72" s="478">
        <f t="shared" si="28"/>
        <v>260.27</v>
      </c>
      <c r="W72" s="97"/>
      <c r="X72" s="157">
        <f t="shared" si="30"/>
        <v>970</v>
      </c>
      <c r="Y72" s="158">
        <f t="shared" si="17"/>
        <v>149.78</v>
      </c>
      <c r="Z72" s="158">
        <f t="shared" si="18"/>
        <v>114.76</v>
      </c>
      <c r="AA72" s="158">
        <f t="shared" si="19"/>
        <v>114.76</v>
      </c>
      <c r="AB72" s="158">
        <f t="shared" si="20"/>
        <v>80.73</v>
      </c>
      <c r="AC72" s="479">
        <f t="shared" si="21"/>
        <v>970</v>
      </c>
      <c r="AD72" s="478">
        <f t="shared" si="22"/>
        <v>114.76</v>
      </c>
    </row>
    <row r="73" spans="1:30">
      <c r="A73" s="295"/>
      <c r="B73" s="386"/>
      <c r="C73" s="386"/>
      <c r="D73" s="383"/>
      <c r="E73" s="45"/>
      <c r="F73" s="45"/>
      <c r="G73" s="45"/>
      <c r="H73" s="45"/>
      <c r="I73" s="45"/>
      <c r="J73" s="45"/>
      <c r="K73" s="45"/>
      <c r="L73" s="45"/>
      <c r="M73" s="45"/>
      <c r="N73" s="45"/>
      <c r="O73" s="105"/>
      <c r="P73" s="157">
        <f t="shared" si="29"/>
        <v>1080</v>
      </c>
      <c r="Q73" s="161">
        <f t="shared" si="23"/>
        <v>336.31</v>
      </c>
      <c r="R73" s="161">
        <f t="shared" si="24"/>
        <v>256.73</v>
      </c>
      <c r="S73" s="161">
        <f t="shared" si="25"/>
        <v>256.73</v>
      </c>
      <c r="T73" s="161">
        <f t="shared" si="26"/>
        <v>181.21</v>
      </c>
      <c r="U73" s="479">
        <f t="shared" si="27"/>
        <v>1080</v>
      </c>
      <c r="V73" s="478">
        <f t="shared" si="28"/>
        <v>256.73</v>
      </c>
      <c r="W73" s="97"/>
      <c r="X73" s="157">
        <f t="shared" si="30"/>
        <v>980</v>
      </c>
      <c r="Y73" s="158">
        <f t="shared" si="17"/>
        <v>146.79</v>
      </c>
      <c r="Z73" s="158">
        <f t="shared" si="18"/>
        <v>112.53</v>
      </c>
      <c r="AA73" s="158">
        <f t="shared" si="19"/>
        <v>112.53</v>
      </c>
      <c r="AB73" s="158">
        <f t="shared" si="20"/>
        <v>79.599999999999994</v>
      </c>
      <c r="AC73" s="479">
        <f t="shared" si="21"/>
        <v>980</v>
      </c>
      <c r="AD73" s="478">
        <f t="shared" si="22"/>
        <v>112.53</v>
      </c>
    </row>
    <row r="74" spans="1:30">
      <c r="A74" s="295"/>
      <c r="B74" s="386"/>
      <c r="C74" s="386"/>
      <c r="D74" s="383"/>
      <c r="E74" s="45"/>
      <c r="F74" s="45"/>
      <c r="G74" s="45"/>
      <c r="H74" s="45"/>
      <c r="I74" s="45"/>
      <c r="J74" s="45"/>
      <c r="K74" s="45"/>
      <c r="L74" s="45"/>
      <c r="M74" s="45"/>
      <c r="N74" s="45"/>
      <c r="O74" s="105"/>
      <c r="P74" s="157">
        <f t="shared" si="29"/>
        <v>1090</v>
      </c>
      <c r="Q74" s="161">
        <f t="shared" si="23"/>
        <v>331.76</v>
      </c>
      <c r="R74" s="161">
        <f t="shared" si="24"/>
        <v>253.24</v>
      </c>
      <c r="S74" s="161">
        <f t="shared" si="25"/>
        <v>253.24</v>
      </c>
      <c r="T74" s="161">
        <f t="shared" si="26"/>
        <v>178.33</v>
      </c>
      <c r="U74" s="479">
        <f t="shared" si="27"/>
        <v>1090</v>
      </c>
      <c r="V74" s="478">
        <f t="shared" si="28"/>
        <v>253.24</v>
      </c>
      <c r="W74" s="97"/>
      <c r="X74" s="157">
        <f t="shared" si="30"/>
        <v>990</v>
      </c>
      <c r="Y74" s="158">
        <f t="shared" si="17"/>
        <v>143.88</v>
      </c>
      <c r="Z74" s="158">
        <f t="shared" si="18"/>
        <v>110.37</v>
      </c>
      <c r="AA74" s="158">
        <f t="shared" si="19"/>
        <v>110.37</v>
      </c>
      <c r="AB74" s="158">
        <f t="shared" si="20"/>
        <v>78.569999999999993</v>
      </c>
      <c r="AC74" s="479">
        <f t="shared" si="21"/>
        <v>990</v>
      </c>
      <c r="AD74" s="478">
        <f t="shared" si="22"/>
        <v>110.37</v>
      </c>
    </row>
    <row r="75" spans="1:30">
      <c r="A75" s="295"/>
      <c r="B75" s="386"/>
      <c r="C75" s="386"/>
      <c r="D75" s="383"/>
      <c r="E75" s="45"/>
      <c r="F75" s="45"/>
      <c r="G75" s="45"/>
      <c r="H75" s="45"/>
      <c r="I75" s="45"/>
      <c r="J75" s="45"/>
      <c r="K75" s="45"/>
      <c r="L75" s="45"/>
      <c r="M75" s="45"/>
      <c r="N75" s="45"/>
      <c r="O75" s="105"/>
      <c r="P75" s="157">
        <f t="shared" si="29"/>
        <v>1100</v>
      </c>
      <c r="Q75" s="161">
        <f t="shared" si="23"/>
        <v>327.25</v>
      </c>
      <c r="R75" s="161">
        <f t="shared" si="24"/>
        <v>249.78</v>
      </c>
      <c r="S75" s="161">
        <f t="shared" si="25"/>
        <v>249.78</v>
      </c>
      <c r="T75" s="161">
        <f t="shared" si="26"/>
        <v>175.5</v>
      </c>
      <c r="U75" s="479">
        <f t="shared" si="27"/>
        <v>1100</v>
      </c>
      <c r="V75" s="478">
        <f t="shared" si="28"/>
        <v>249.78</v>
      </c>
      <c r="W75" s="97"/>
      <c r="X75" s="157">
        <f t="shared" si="30"/>
        <v>1000</v>
      </c>
      <c r="Y75" s="158">
        <f t="shared" si="17"/>
        <v>141.03</v>
      </c>
      <c r="Z75" s="158">
        <f t="shared" si="18"/>
        <v>108.26</v>
      </c>
      <c r="AA75" s="158">
        <f t="shared" si="19"/>
        <v>108.26</v>
      </c>
      <c r="AB75" s="158">
        <f t="shared" si="20"/>
        <v>77.66</v>
      </c>
      <c r="AC75" s="479">
        <f t="shared" si="21"/>
        <v>1000</v>
      </c>
      <c r="AD75" s="478">
        <f t="shared" si="22"/>
        <v>108.26</v>
      </c>
    </row>
    <row r="76" spans="1:30">
      <c r="A76" s="295"/>
      <c r="B76" s="386"/>
      <c r="C76" s="386"/>
      <c r="D76" s="383"/>
      <c r="E76" s="45"/>
      <c r="F76" s="45"/>
      <c r="G76" s="45"/>
      <c r="H76" s="45"/>
      <c r="I76" s="45"/>
      <c r="J76" s="45"/>
      <c r="K76" s="45"/>
      <c r="L76" s="45"/>
      <c r="M76" s="45"/>
      <c r="N76" s="45"/>
      <c r="O76" s="105"/>
      <c r="P76" s="157">
        <f t="shared" si="29"/>
        <v>1110</v>
      </c>
      <c r="Q76" s="161">
        <f t="shared" si="23"/>
        <v>322.79000000000002</v>
      </c>
      <c r="R76" s="161">
        <f t="shared" si="24"/>
        <v>246.37</v>
      </c>
      <c r="S76" s="161">
        <f t="shared" si="25"/>
        <v>246.37</v>
      </c>
      <c r="T76" s="161">
        <f t="shared" si="26"/>
        <v>172.73</v>
      </c>
      <c r="U76" s="479">
        <f t="shared" si="27"/>
        <v>1110</v>
      </c>
      <c r="V76" s="478">
        <f t="shared" si="28"/>
        <v>246.37</v>
      </c>
      <c r="W76" s="97"/>
      <c r="X76" s="157">
        <f t="shared" si="30"/>
        <v>1010</v>
      </c>
      <c r="Y76" s="158">
        <f t="shared" si="17"/>
        <v>138.26</v>
      </c>
      <c r="Z76" s="158">
        <f t="shared" si="18"/>
        <v>106.22</v>
      </c>
      <c r="AA76" s="158">
        <f t="shared" si="19"/>
        <v>106.22</v>
      </c>
      <c r="AB76" s="158">
        <f t="shared" si="20"/>
        <v>76.84</v>
      </c>
      <c r="AC76" s="479">
        <f t="shared" si="21"/>
        <v>1010</v>
      </c>
      <c r="AD76" s="478">
        <f t="shared" si="22"/>
        <v>106.22</v>
      </c>
    </row>
    <row r="77" spans="1:30">
      <c r="O77" s="105"/>
      <c r="P77" s="157">
        <f t="shared" si="29"/>
        <v>1120</v>
      </c>
      <c r="Q77" s="161">
        <f t="shared" si="23"/>
        <v>318.38</v>
      </c>
      <c r="R77" s="161">
        <f t="shared" si="24"/>
        <v>242.99</v>
      </c>
      <c r="S77" s="161">
        <f t="shared" si="25"/>
        <v>242.99</v>
      </c>
      <c r="T77" s="161">
        <f t="shared" si="26"/>
        <v>170</v>
      </c>
      <c r="U77" s="479">
        <f t="shared" si="27"/>
        <v>1120</v>
      </c>
      <c r="V77" s="478">
        <f t="shared" si="28"/>
        <v>242.99</v>
      </c>
      <c r="W77" s="97"/>
      <c r="X77" s="157">
        <f t="shared" si="30"/>
        <v>1020</v>
      </c>
      <c r="Y77" s="158">
        <f t="shared" si="17"/>
        <v>135.57</v>
      </c>
      <c r="Z77" s="158">
        <f t="shared" si="18"/>
        <v>104.24</v>
      </c>
      <c r="AA77" s="158">
        <f t="shared" si="19"/>
        <v>104.24</v>
      </c>
      <c r="AB77" s="158">
        <f t="shared" si="20"/>
        <v>76.14</v>
      </c>
      <c r="AC77" s="479">
        <f t="shared" si="21"/>
        <v>1020</v>
      </c>
      <c r="AD77" s="478">
        <f t="shared" si="22"/>
        <v>104.24</v>
      </c>
    </row>
    <row r="78" spans="1:30">
      <c r="O78" s="105"/>
      <c r="P78" s="157">
        <f t="shared" si="29"/>
        <v>1130</v>
      </c>
      <c r="Q78" s="161">
        <f t="shared" si="23"/>
        <v>314.02</v>
      </c>
      <c r="R78" s="161">
        <f t="shared" si="24"/>
        <v>239.65</v>
      </c>
      <c r="S78" s="161">
        <f t="shared" si="25"/>
        <v>239.65</v>
      </c>
      <c r="T78" s="161">
        <f t="shared" si="26"/>
        <v>167.33</v>
      </c>
      <c r="U78" s="479">
        <f t="shared" si="27"/>
        <v>1130</v>
      </c>
      <c r="V78" s="478">
        <f t="shared" si="28"/>
        <v>239.65</v>
      </c>
      <c r="W78" s="97"/>
      <c r="X78" s="157">
        <f t="shared" si="30"/>
        <v>1030</v>
      </c>
      <c r="Y78" s="158">
        <f t="shared" si="17"/>
        <v>132.94999999999999</v>
      </c>
      <c r="Z78" s="158">
        <f t="shared" si="18"/>
        <v>102.32</v>
      </c>
      <c r="AA78" s="158">
        <f t="shared" si="19"/>
        <v>102.32</v>
      </c>
      <c r="AB78" s="158">
        <f t="shared" si="20"/>
        <v>75.55</v>
      </c>
      <c r="AC78" s="479">
        <f t="shared" si="21"/>
        <v>1030</v>
      </c>
      <c r="AD78" s="478">
        <f t="shared" si="22"/>
        <v>102.32</v>
      </c>
    </row>
    <row r="79" spans="1:30">
      <c r="A79" s="334"/>
      <c r="B79" s="83"/>
      <c r="C79" s="83"/>
      <c r="D79" s="83"/>
      <c r="O79" s="105"/>
      <c r="P79" s="157">
        <f t="shared" si="29"/>
        <v>1140</v>
      </c>
      <c r="Q79" s="161">
        <f t="shared" si="23"/>
        <v>309.72000000000003</v>
      </c>
      <c r="R79" s="161">
        <f t="shared" si="24"/>
        <v>236.35</v>
      </c>
      <c r="S79" s="161">
        <f t="shared" si="25"/>
        <v>236.35</v>
      </c>
      <c r="T79" s="161">
        <f t="shared" si="26"/>
        <v>164.7</v>
      </c>
      <c r="U79" s="479">
        <f t="shared" si="27"/>
        <v>1140</v>
      </c>
      <c r="V79" s="478">
        <f t="shared" si="28"/>
        <v>236.35</v>
      </c>
      <c r="W79" s="97"/>
      <c r="X79" s="157">
        <f t="shared" si="30"/>
        <v>1040</v>
      </c>
      <c r="Y79" s="158">
        <f t="shared" si="17"/>
        <v>130.4</v>
      </c>
      <c r="Z79" s="158">
        <f t="shared" si="18"/>
        <v>100.46</v>
      </c>
      <c r="AA79" s="158">
        <f t="shared" si="19"/>
        <v>100.46</v>
      </c>
      <c r="AB79" s="158">
        <f t="shared" si="20"/>
        <v>75.08</v>
      </c>
      <c r="AC79" s="479">
        <f t="shared" si="21"/>
        <v>1040</v>
      </c>
      <c r="AD79" s="478">
        <f t="shared" si="22"/>
        <v>100.46</v>
      </c>
    </row>
    <row r="80" spans="1:30">
      <c r="A80" s="345"/>
      <c r="B80" s="83"/>
      <c r="C80" s="83"/>
      <c r="D80" s="83"/>
      <c r="O80" s="105"/>
      <c r="P80" s="157">
        <f t="shared" si="29"/>
        <v>1150</v>
      </c>
      <c r="Q80" s="161">
        <f t="shared" si="23"/>
        <v>305.45999999999998</v>
      </c>
      <c r="R80" s="161">
        <f t="shared" si="24"/>
        <v>233.09</v>
      </c>
      <c r="S80" s="161">
        <f t="shared" si="25"/>
        <v>233.09</v>
      </c>
      <c r="T80" s="161">
        <f t="shared" si="26"/>
        <v>162.13</v>
      </c>
      <c r="U80" s="479">
        <f t="shared" si="27"/>
        <v>1150</v>
      </c>
      <c r="V80" s="478">
        <f t="shared" si="28"/>
        <v>233.09</v>
      </c>
      <c r="W80" s="97"/>
      <c r="X80" s="157">
        <f t="shared" si="30"/>
        <v>1050</v>
      </c>
      <c r="Y80" s="158">
        <f t="shared" si="17"/>
        <v>127.93</v>
      </c>
      <c r="Z80" s="158">
        <f t="shared" si="18"/>
        <v>100</v>
      </c>
      <c r="AA80" s="158">
        <f t="shared" si="19"/>
        <v>98.65</v>
      </c>
      <c r="AB80" s="158">
        <f t="shared" si="20"/>
        <v>75</v>
      </c>
      <c r="AC80" s="479">
        <f t="shared" si="21"/>
        <v>1050</v>
      </c>
      <c r="AD80" s="478">
        <f t="shared" si="22"/>
        <v>98.65</v>
      </c>
    </row>
    <row r="81" spans="1:30">
      <c r="A81" s="345"/>
      <c r="B81" s="83"/>
      <c r="C81" s="83"/>
      <c r="D81" s="83"/>
      <c r="O81" s="105"/>
      <c r="P81" s="157">
        <f t="shared" si="29"/>
        <v>1160</v>
      </c>
      <c r="Q81" s="161">
        <f t="shared" si="23"/>
        <v>301.25</v>
      </c>
      <c r="R81" s="161">
        <f t="shared" si="24"/>
        <v>229.87</v>
      </c>
      <c r="S81" s="161">
        <f t="shared" si="25"/>
        <v>229.87</v>
      </c>
      <c r="T81" s="161">
        <f t="shared" si="26"/>
        <v>159.61000000000001</v>
      </c>
      <c r="U81" s="479">
        <f t="shared" si="27"/>
        <v>1160</v>
      </c>
      <c r="V81" s="478">
        <f t="shared" si="28"/>
        <v>229.87</v>
      </c>
      <c r="W81" s="97"/>
      <c r="X81" s="157">
        <f t="shared" si="30"/>
        <v>1060</v>
      </c>
      <c r="Y81" s="158">
        <f t="shared" si="17"/>
        <v>125.54</v>
      </c>
      <c r="Z81" s="158">
        <f t="shared" si="18"/>
        <v>100</v>
      </c>
      <c r="AA81" s="158">
        <f t="shared" si="19"/>
        <v>96.91</v>
      </c>
      <c r="AB81" s="158">
        <f t="shared" si="20"/>
        <v>75</v>
      </c>
      <c r="AC81" s="479">
        <f t="shared" si="21"/>
        <v>1060</v>
      </c>
      <c r="AD81" s="478">
        <f t="shared" si="22"/>
        <v>96.91</v>
      </c>
    </row>
    <row r="82" spans="1:30">
      <c r="A82" s="345"/>
      <c r="B82" s="83"/>
      <c r="C82" s="83"/>
      <c r="D82" s="83"/>
      <c r="O82" s="105"/>
      <c r="P82" s="157">
        <f t="shared" si="29"/>
        <v>1170</v>
      </c>
      <c r="Q82" s="161">
        <f t="shared" si="23"/>
        <v>297.10000000000002</v>
      </c>
      <c r="R82" s="161">
        <f t="shared" si="24"/>
        <v>226.69</v>
      </c>
      <c r="S82" s="161">
        <f t="shared" si="25"/>
        <v>226.69</v>
      </c>
      <c r="T82" s="161">
        <f t="shared" si="26"/>
        <v>157.15</v>
      </c>
      <c r="U82" s="479">
        <f t="shared" si="27"/>
        <v>1170</v>
      </c>
      <c r="V82" s="478">
        <f t="shared" si="28"/>
        <v>226.69</v>
      </c>
      <c r="W82" s="97"/>
      <c r="X82" s="157">
        <f t="shared" si="30"/>
        <v>1070</v>
      </c>
      <c r="Y82" s="158">
        <f t="shared" ref="Y82:Y105" si="31">ROUND(IF(X82&gt;1200,100,($L$12*X82^4)-($L$13*X82^3)+($L$14*X82^2)-($L$15*X82)+$L$16),2)</f>
        <v>123.22</v>
      </c>
      <c r="Z82" s="158">
        <f t="shared" ref="Z82:Z105" si="32">ROUND(IF(X82&gt;=1050,100,-($G$12*X82^4)+($G$13*X82^3)-($G$14*X82^2)-($G$15*X82)+$G$16),2)</f>
        <v>100</v>
      </c>
      <c r="AA82" s="158">
        <f t="shared" ref="AA82:AA105" si="33">ROUND(IF(X82&gt;1230,75,-($G$12*X82^4)+($G$13*X82^3)-($G$14*X82^2)-($G$15*X82)+$G$16),2)</f>
        <v>95.22</v>
      </c>
      <c r="AB82" s="158">
        <f t="shared" ref="AB82:AB105" si="34">ROUND(IF(X82&gt;=1050,75,($B$12*X82^4)-($B$13*X82^3)+($B$14*X82^2)-($B$15*X82)+$B$16),2)</f>
        <v>75</v>
      </c>
      <c r="AC82" s="479">
        <f t="shared" ref="AC82:AC105" si="35">X82</f>
        <v>1070</v>
      </c>
      <c r="AD82" s="478">
        <f t="shared" ref="AD82:AD105" si="36">IF($B$33+$C$33=4,Y82,IF($B$33=2,AA82,IF($B$33+$C$33=3,Z82,AB82)))</f>
        <v>95.22</v>
      </c>
    </row>
    <row r="83" spans="1:30">
      <c r="A83" s="83"/>
      <c r="B83" s="83"/>
      <c r="C83" s="83"/>
      <c r="D83" s="83"/>
      <c r="O83" s="105"/>
      <c r="P83" s="157">
        <f t="shared" si="29"/>
        <v>1180</v>
      </c>
      <c r="Q83" s="161">
        <f t="shared" si="23"/>
        <v>293</v>
      </c>
      <c r="R83" s="161">
        <f t="shared" si="24"/>
        <v>223.54</v>
      </c>
      <c r="S83" s="161">
        <f t="shared" si="25"/>
        <v>223.54</v>
      </c>
      <c r="T83" s="161">
        <f t="shared" si="26"/>
        <v>154.72999999999999</v>
      </c>
      <c r="U83" s="479">
        <f t="shared" si="27"/>
        <v>1180</v>
      </c>
      <c r="V83" s="478">
        <f t="shared" si="28"/>
        <v>223.54</v>
      </c>
      <c r="W83" s="97"/>
      <c r="X83" s="157">
        <f t="shared" si="30"/>
        <v>1080</v>
      </c>
      <c r="Y83" s="158">
        <f t="shared" si="31"/>
        <v>120.98</v>
      </c>
      <c r="Z83" s="158">
        <f t="shared" si="32"/>
        <v>100</v>
      </c>
      <c r="AA83" s="158">
        <f t="shared" si="33"/>
        <v>93.58</v>
      </c>
      <c r="AB83" s="158">
        <f t="shared" si="34"/>
        <v>75</v>
      </c>
      <c r="AC83" s="479">
        <f t="shared" si="35"/>
        <v>1080</v>
      </c>
      <c r="AD83" s="478">
        <f t="shared" si="36"/>
        <v>93.58</v>
      </c>
    </row>
    <row r="84" spans="1:30">
      <c r="A84" s="83"/>
      <c r="B84" s="83"/>
      <c r="C84" s="83"/>
      <c r="D84" s="83"/>
      <c r="O84" s="105"/>
      <c r="P84" s="157">
        <f t="shared" si="29"/>
        <v>1190</v>
      </c>
      <c r="Q84" s="161">
        <f t="shared" si="23"/>
        <v>288.94</v>
      </c>
      <c r="R84" s="161">
        <f t="shared" si="24"/>
        <v>220.44</v>
      </c>
      <c r="S84" s="161">
        <f t="shared" si="25"/>
        <v>220.44</v>
      </c>
      <c r="T84" s="161">
        <f t="shared" si="26"/>
        <v>152.37</v>
      </c>
      <c r="U84" s="479">
        <f t="shared" si="27"/>
        <v>1190</v>
      </c>
      <c r="V84" s="478">
        <f t="shared" si="28"/>
        <v>220.44</v>
      </c>
      <c r="W84" s="97"/>
      <c r="X84" s="157">
        <f t="shared" si="30"/>
        <v>1090</v>
      </c>
      <c r="Y84" s="158">
        <f t="shared" si="31"/>
        <v>118.81</v>
      </c>
      <c r="Z84" s="158">
        <f t="shared" si="32"/>
        <v>100</v>
      </c>
      <c r="AA84" s="158">
        <f t="shared" si="33"/>
        <v>92.01</v>
      </c>
      <c r="AB84" s="158">
        <f t="shared" si="34"/>
        <v>75</v>
      </c>
      <c r="AC84" s="479">
        <f t="shared" si="35"/>
        <v>1090</v>
      </c>
      <c r="AD84" s="478">
        <f t="shared" si="36"/>
        <v>92.01</v>
      </c>
    </row>
    <row r="85" spans="1:30">
      <c r="A85" s="83"/>
      <c r="B85" s="83"/>
      <c r="C85" s="83"/>
      <c r="D85" s="83"/>
      <c r="O85" s="105"/>
      <c r="P85" s="157">
        <f t="shared" si="29"/>
        <v>1200</v>
      </c>
      <c r="Q85" s="161">
        <f t="shared" si="23"/>
        <v>284.95</v>
      </c>
      <c r="R85" s="161">
        <f t="shared" si="24"/>
        <v>217.37</v>
      </c>
      <c r="S85" s="161">
        <f t="shared" si="25"/>
        <v>217.37</v>
      </c>
      <c r="T85" s="161">
        <f t="shared" si="26"/>
        <v>150.06</v>
      </c>
      <c r="U85" s="479">
        <f t="shared" si="27"/>
        <v>1200</v>
      </c>
      <c r="V85" s="478">
        <f t="shared" si="28"/>
        <v>217.37</v>
      </c>
      <c r="W85" s="97"/>
      <c r="X85" s="157">
        <f t="shared" si="30"/>
        <v>1100</v>
      </c>
      <c r="Y85" s="158">
        <f t="shared" si="31"/>
        <v>116.72</v>
      </c>
      <c r="Z85" s="158">
        <f t="shared" si="32"/>
        <v>100</v>
      </c>
      <c r="AA85" s="158">
        <f t="shared" si="33"/>
        <v>90.49</v>
      </c>
      <c r="AB85" s="158">
        <f t="shared" si="34"/>
        <v>75</v>
      </c>
      <c r="AC85" s="479">
        <f t="shared" si="35"/>
        <v>1100</v>
      </c>
      <c r="AD85" s="478">
        <f t="shared" si="36"/>
        <v>90.49</v>
      </c>
    </row>
    <row r="86" spans="1:30">
      <c r="A86" s="83"/>
      <c r="B86" s="83"/>
      <c r="C86" s="83"/>
      <c r="D86" s="83"/>
      <c r="O86" s="105"/>
      <c r="P86" s="157">
        <f t="shared" si="29"/>
        <v>1210</v>
      </c>
      <c r="Q86" s="161">
        <f t="shared" si="23"/>
        <v>281</v>
      </c>
      <c r="R86" s="161">
        <f t="shared" si="24"/>
        <v>214.34</v>
      </c>
      <c r="S86" s="161">
        <f t="shared" si="25"/>
        <v>214.34</v>
      </c>
      <c r="T86" s="161">
        <f t="shared" si="26"/>
        <v>147.80000000000001</v>
      </c>
      <c r="U86" s="479">
        <f t="shared" si="27"/>
        <v>1210</v>
      </c>
      <c r="V86" s="478">
        <f t="shared" si="28"/>
        <v>214.34</v>
      </c>
      <c r="W86" s="97"/>
      <c r="X86" s="157">
        <f t="shared" si="30"/>
        <v>1110</v>
      </c>
      <c r="Y86" s="158">
        <f t="shared" si="31"/>
        <v>114.71</v>
      </c>
      <c r="Z86" s="158">
        <f t="shared" si="32"/>
        <v>100</v>
      </c>
      <c r="AA86" s="158">
        <f t="shared" si="33"/>
        <v>89.02</v>
      </c>
      <c r="AB86" s="158">
        <f t="shared" si="34"/>
        <v>75</v>
      </c>
      <c r="AC86" s="479">
        <f t="shared" si="35"/>
        <v>1110</v>
      </c>
      <c r="AD86" s="478">
        <f t="shared" si="36"/>
        <v>89.02</v>
      </c>
    </row>
    <row r="87" spans="1:30">
      <c r="A87" s="346"/>
      <c r="B87" s="346"/>
      <c r="C87" s="346"/>
      <c r="D87" s="347"/>
      <c r="E87" s="27"/>
      <c r="F87" s="27"/>
      <c r="O87" s="105"/>
      <c r="P87" s="157">
        <f t="shared" si="29"/>
        <v>1220</v>
      </c>
      <c r="Q87" s="161">
        <f t="shared" si="23"/>
        <v>277.11</v>
      </c>
      <c r="R87" s="161">
        <f t="shared" si="24"/>
        <v>211.35</v>
      </c>
      <c r="S87" s="161">
        <f t="shared" si="25"/>
        <v>211.35</v>
      </c>
      <c r="T87" s="161">
        <f t="shared" si="26"/>
        <v>145.59</v>
      </c>
      <c r="U87" s="479">
        <f t="shared" si="27"/>
        <v>1220</v>
      </c>
      <c r="V87" s="478">
        <f t="shared" si="28"/>
        <v>211.35</v>
      </c>
      <c r="W87" s="97"/>
      <c r="X87" s="157">
        <f t="shared" si="30"/>
        <v>1120</v>
      </c>
      <c r="Y87" s="158">
        <f t="shared" si="31"/>
        <v>112.78</v>
      </c>
      <c r="Z87" s="158">
        <f t="shared" si="32"/>
        <v>100</v>
      </c>
      <c r="AA87" s="158">
        <f t="shared" si="33"/>
        <v>87.6</v>
      </c>
      <c r="AB87" s="158">
        <f t="shared" si="34"/>
        <v>75</v>
      </c>
      <c r="AC87" s="479">
        <f t="shared" si="35"/>
        <v>1120</v>
      </c>
      <c r="AD87" s="478">
        <f t="shared" si="36"/>
        <v>87.6</v>
      </c>
    </row>
    <row r="88" spans="1:30">
      <c r="A88" s="348"/>
      <c r="B88" s="348"/>
      <c r="C88" s="127"/>
      <c r="D88" s="143"/>
      <c r="E88" s="127"/>
      <c r="F88" s="127"/>
      <c r="O88" s="105"/>
      <c r="P88" s="157">
        <f t="shared" si="29"/>
        <v>1230</v>
      </c>
      <c r="Q88" s="161">
        <f t="shared" si="23"/>
        <v>273.26</v>
      </c>
      <c r="R88" s="161">
        <f t="shared" si="24"/>
        <v>208.4</v>
      </c>
      <c r="S88" s="161">
        <f t="shared" si="25"/>
        <v>208.4</v>
      </c>
      <c r="T88" s="161">
        <f t="shared" si="26"/>
        <v>143.43</v>
      </c>
      <c r="U88" s="479">
        <f t="shared" si="27"/>
        <v>1230</v>
      </c>
      <c r="V88" s="478">
        <f t="shared" si="28"/>
        <v>208.4</v>
      </c>
      <c r="W88" s="97"/>
      <c r="X88" s="157">
        <f t="shared" si="30"/>
        <v>1130</v>
      </c>
      <c r="Y88" s="158">
        <f t="shared" si="31"/>
        <v>110.93</v>
      </c>
      <c r="Z88" s="158">
        <f t="shared" si="32"/>
        <v>100</v>
      </c>
      <c r="AA88" s="158">
        <f t="shared" si="33"/>
        <v>86.24</v>
      </c>
      <c r="AB88" s="158">
        <f t="shared" si="34"/>
        <v>75</v>
      </c>
      <c r="AC88" s="479">
        <f t="shared" si="35"/>
        <v>1130</v>
      </c>
      <c r="AD88" s="478">
        <f t="shared" si="36"/>
        <v>86.24</v>
      </c>
    </row>
    <row r="89" spans="1:30">
      <c r="A89" s="348"/>
      <c r="B89" s="348"/>
      <c r="C89" s="127"/>
      <c r="D89" s="143"/>
      <c r="E89" s="127"/>
      <c r="F89" s="127"/>
      <c r="O89" s="105"/>
      <c r="P89" s="157">
        <f t="shared" si="29"/>
        <v>1240</v>
      </c>
      <c r="Q89" s="161">
        <f t="shared" si="23"/>
        <v>269.48</v>
      </c>
      <c r="R89" s="161">
        <f t="shared" si="24"/>
        <v>205.49</v>
      </c>
      <c r="S89" s="161">
        <f t="shared" si="25"/>
        <v>205.49</v>
      </c>
      <c r="T89" s="161">
        <f t="shared" si="26"/>
        <v>141.33000000000001</v>
      </c>
      <c r="U89" s="479">
        <f t="shared" si="27"/>
        <v>1240</v>
      </c>
      <c r="V89" s="478">
        <f t="shared" si="28"/>
        <v>205.49</v>
      </c>
      <c r="W89" s="97"/>
      <c r="X89" s="157">
        <f t="shared" si="30"/>
        <v>1140</v>
      </c>
      <c r="Y89" s="158">
        <f t="shared" si="31"/>
        <v>109.15</v>
      </c>
      <c r="Z89" s="158">
        <f t="shared" si="32"/>
        <v>100</v>
      </c>
      <c r="AA89" s="158">
        <f t="shared" si="33"/>
        <v>84.92</v>
      </c>
      <c r="AB89" s="158">
        <f t="shared" si="34"/>
        <v>75</v>
      </c>
      <c r="AC89" s="479">
        <f t="shared" si="35"/>
        <v>1140</v>
      </c>
      <c r="AD89" s="478">
        <f t="shared" si="36"/>
        <v>84.92</v>
      </c>
    </row>
    <row r="90" spans="1:30">
      <c r="A90" s="328"/>
      <c r="B90" s="128"/>
      <c r="C90" s="328"/>
      <c r="D90" s="250"/>
      <c r="E90" s="128"/>
      <c r="F90" s="128"/>
      <c r="O90" s="105"/>
      <c r="P90" s="157">
        <f t="shared" si="29"/>
        <v>1250</v>
      </c>
      <c r="Q90" s="161">
        <f t="shared" ref="Q90:Q145" si="37">ROUND(IF(P90&gt;1689,150,-($L$4*P90^4)+($L$5*P90^3)-($L$6*P90^2)-($L$7*P90)+$L$8),2)</f>
        <v>265.74</v>
      </c>
      <c r="R90" s="161">
        <f t="shared" ref="R90:R145" si="38">ROUND(IF(P90&gt;1759,100,-($G$4*P90^4)+($G$5*P90^3)-($G$6*P90^2)-($G$7*P90)+$G$8),2)</f>
        <v>202.61</v>
      </c>
      <c r="S90" s="161">
        <f t="shared" ref="S90:S145" si="39">ROUND(IF(P90&gt;1463,150,-($G$4*P90^4)+($G$5*P90^3)-($G$6*P90^2)-($G$7*P90)+$G$8),2)</f>
        <v>202.61</v>
      </c>
      <c r="T90" s="161">
        <f t="shared" ref="T90:T145" si="40">ROUND(IF(P90&gt;1547,100,-($B$4*P90^4)+($B$5*P90^3)-($B$6*P90^2)-($B$7*P90)+$B$8),2)</f>
        <v>139.27000000000001</v>
      </c>
      <c r="U90" s="479">
        <f t="shared" ref="U90:U145" si="41">P90</f>
        <v>1250</v>
      </c>
      <c r="V90" s="478">
        <f t="shared" ref="V90:V145" si="42">IF($B$33+$C$33=4,Q90,IF($B$33=2,R90,IF($B$33+$C$33=3,S90,T90)))</f>
        <v>202.61</v>
      </c>
      <c r="W90" s="97"/>
      <c r="X90" s="157">
        <f t="shared" si="30"/>
        <v>1150</v>
      </c>
      <c r="Y90" s="158">
        <f t="shared" si="31"/>
        <v>107.46</v>
      </c>
      <c r="Z90" s="158">
        <f t="shared" si="32"/>
        <v>100</v>
      </c>
      <c r="AA90" s="158">
        <f t="shared" si="33"/>
        <v>83.66</v>
      </c>
      <c r="AB90" s="158">
        <f t="shared" si="34"/>
        <v>75</v>
      </c>
      <c r="AC90" s="479">
        <f t="shared" si="35"/>
        <v>1150</v>
      </c>
      <c r="AD90" s="478">
        <f t="shared" si="36"/>
        <v>83.66</v>
      </c>
    </row>
    <row r="91" spans="1:30">
      <c r="A91" s="349"/>
      <c r="B91" s="349"/>
      <c r="C91" s="349"/>
      <c r="D91" s="349"/>
      <c r="E91" s="56"/>
      <c r="F91" s="56"/>
      <c r="O91" s="105"/>
      <c r="P91" s="157">
        <f t="shared" si="29"/>
        <v>1260</v>
      </c>
      <c r="Q91" s="161">
        <f t="shared" si="37"/>
        <v>262.06</v>
      </c>
      <c r="R91" s="161">
        <f t="shared" si="38"/>
        <v>199.78</v>
      </c>
      <c r="S91" s="161">
        <f t="shared" si="39"/>
        <v>199.78</v>
      </c>
      <c r="T91" s="161">
        <f t="shared" si="40"/>
        <v>137.27000000000001</v>
      </c>
      <c r="U91" s="479">
        <f t="shared" si="41"/>
        <v>1260</v>
      </c>
      <c r="V91" s="478">
        <f t="shared" si="42"/>
        <v>199.78</v>
      </c>
      <c r="W91" s="97"/>
      <c r="X91" s="157">
        <f t="shared" si="30"/>
        <v>1160</v>
      </c>
      <c r="Y91" s="158">
        <f t="shared" si="31"/>
        <v>105.84</v>
      </c>
      <c r="Z91" s="158">
        <f t="shared" si="32"/>
        <v>100</v>
      </c>
      <c r="AA91" s="158">
        <f t="shared" si="33"/>
        <v>82.45</v>
      </c>
      <c r="AB91" s="158">
        <f t="shared" si="34"/>
        <v>75</v>
      </c>
      <c r="AC91" s="479">
        <f t="shared" si="35"/>
        <v>1160</v>
      </c>
      <c r="AD91" s="478">
        <f t="shared" si="36"/>
        <v>82.45</v>
      </c>
    </row>
    <row r="92" spans="1:30">
      <c r="A92" s="129"/>
      <c r="B92" s="129"/>
      <c r="C92" s="129"/>
      <c r="D92" s="129"/>
      <c r="E92" s="129"/>
      <c r="F92" s="129"/>
      <c r="O92" s="105"/>
      <c r="P92" s="157">
        <f t="shared" si="29"/>
        <v>1270</v>
      </c>
      <c r="Q92" s="161">
        <f t="shared" si="37"/>
        <v>258.42</v>
      </c>
      <c r="R92" s="161">
        <f t="shared" si="38"/>
        <v>196.98</v>
      </c>
      <c r="S92" s="161">
        <f t="shared" si="39"/>
        <v>196.98</v>
      </c>
      <c r="T92" s="161">
        <f t="shared" si="40"/>
        <v>135.31</v>
      </c>
      <c r="U92" s="479">
        <f t="shared" si="41"/>
        <v>1270</v>
      </c>
      <c r="V92" s="478">
        <f t="shared" si="42"/>
        <v>196.98</v>
      </c>
      <c r="W92" s="97"/>
      <c r="X92" s="157">
        <f t="shared" si="30"/>
        <v>1170</v>
      </c>
      <c r="Y92" s="158">
        <f t="shared" si="31"/>
        <v>104.31</v>
      </c>
      <c r="Z92" s="158">
        <f t="shared" si="32"/>
        <v>100</v>
      </c>
      <c r="AA92" s="158">
        <f t="shared" si="33"/>
        <v>81.28</v>
      </c>
      <c r="AB92" s="158">
        <f t="shared" si="34"/>
        <v>75</v>
      </c>
      <c r="AC92" s="479">
        <f t="shared" si="35"/>
        <v>1170</v>
      </c>
      <c r="AD92" s="478">
        <f t="shared" si="36"/>
        <v>81.28</v>
      </c>
    </row>
    <row r="93" spans="1:30">
      <c r="A93" s="130"/>
      <c r="B93" s="130"/>
      <c r="C93" s="130"/>
      <c r="D93" s="83"/>
      <c r="E93" s="130"/>
      <c r="F93" s="130"/>
      <c r="O93" s="105"/>
      <c r="P93" s="157">
        <f t="shared" si="29"/>
        <v>1280</v>
      </c>
      <c r="Q93" s="161">
        <f t="shared" si="37"/>
        <v>254.85</v>
      </c>
      <c r="R93" s="161">
        <f t="shared" si="38"/>
        <v>194.22</v>
      </c>
      <c r="S93" s="161">
        <f t="shared" si="39"/>
        <v>194.22</v>
      </c>
      <c r="T93" s="161">
        <f t="shared" si="40"/>
        <v>133.41</v>
      </c>
      <c r="U93" s="479">
        <f t="shared" si="41"/>
        <v>1280</v>
      </c>
      <c r="V93" s="478">
        <f t="shared" si="42"/>
        <v>194.22</v>
      </c>
      <c r="W93" s="97"/>
      <c r="X93" s="157">
        <f t="shared" si="30"/>
        <v>1180</v>
      </c>
      <c r="Y93" s="158">
        <f t="shared" si="31"/>
        <v>102.85</v>
      </c>
      <c r="Z93" s="158">
        <f t="shared" si="32"/>
        <v>100</v>
      </c>
      <c r="AA93" s="158">
        <f t="shared" si="33"/>
        <v>80.150000000000006</v>
      </c>
      <c r="AB93" s="158">
        <f t="shared" si="34"/>
        <v>75</v>
      </c>
      <c r="AC93" s="479">
        <f t="shared" si="35"/>
        <v>1180</v>
      </c>
      <c r="AD93" s="478">
        <f t="shared" si="36"/>
        <v>80.150000000000006</v>
      </c>
    </row>
    <row r="94" spans="1:30">
      <c r="A94" s="131"/>
      <c r="B94" s="131"/>
      <c r="C94" s="131"/>
      <c r="D94" s="83"/>
      <c r="E94" s="131"/>
      <c r="F94" s="131"/>
      <c r="O94" s="105"/>
      <c r="P94" s="157">
        <f t="shared" si="29"/>
        <v>1290</v>
      </c>
      <c r="Q94" s="161">
        <f t="shared" si="37"/>
        <v>251.32</v>
      </c>
      <c r="R94" s="161">
        <f t="shared" si="38"/>
        <v>191.49</v>
      </c>
      <c r="S94" s="161">
        <f t="shared" si="39"/>
        <v>191.49</v>
      </c>
      <c r="T94" s="161">
        <f t="shared" si="40"/>
        <v>131.56</v>
      </c>
      <c r="U94" s="479">
        <f t="shared" si="41"/>
        <v>1290</v>
      </c>
      <c r="V94" s="478">
        <f t="shared" si="42"/>
        <v>191.49</v>
      </c>
      <c r="X94" s="157">
        <f t="shared" si="30"/>
        <v>1190</v>
      </c>
      <c r="Y94" s="158">
        <f t="shared" si="31"/>
        <v>101.48</v>
      </c>
      <c r="Z94" s="158">
        <f t="shared" si="32"/>
        <v>100</v>
      </c>
      <c r="AA94" s="158">
        <f t="shared" si="33"/>
        <v>79.08</v>
      </c>
      <c r="AB94" s="158">
        <f t="shared" si="34"/>
        <v>75</v>
      </c>
      <c r="AC94" s="479">
        <f t="shared" si="35"/>
        <v>1190</v>
      </c>
      <c r="AD94" s="478">
        <f t="shared" si="36"/>
        <v>79.08</v>
      </c>
    </row>
    <row r="95" spans="1:30">
      <c r="A95" s="128"/>
      <c r="B95" s="128"/>
      <c r="C95" s="128"/>
      <c r="D95" s="83"/>
      <c r="E95" s="128"/>
      <c r="F95" s="128"/>
      <c r="O95" s="105"/>
      <c r="P95" s="157">
        <f t="shared" si="29"/>
        <v>1300</v>
      </c>
      <c r="Q95" s="161">
        <f t="shared" si="37"/>
        <v>247.85</v>
      </c>
      <c r="R95" s="161">
        <f t="shared" si="38"/>
        <v>188.8</v>
      </c>
      <c r="S95" s="161">
        <f t="shared" si="39"/>
        <v>188.8</v>
      </c>
      <c r="T95" s="161">
        <f t="shared" si="40"/>
        <v>129.76</v>
      </c>
      <c r="U95" s="479">
        <f t="shared" si="41"/>
        <v>1300</v>
      </c>
      <c r="V95" s="478">
        <f t="shared" si="42"/>
        <v>188.8</v>
      </c>
      <c r="X95" s="157">
        <f t="shared" si="30"/>
        <v>1200</v>
      </c>
      <c r="Y95" s="158">
        <f t="shared" si="31"/>
        <v>100.19</v>
      </c>
      <c r="Z95" s="158">
        <f t="shared" si="32"/>
        <v>100</v>
      </c>
      <c r="AA95" s="158">
        <f t="shared" si="33"/>
        <v>78.040000000000006</v>
      </c>
      <c r="AB95" s="158">
        <f t="shared" si="34"/>
        <v>75</v>
      </c>
      <c r="AC95" s="479">
        <f t="shared" si="35"/>
        <v>1200</v>
      </c>
      <c r="AD95" s="478">
        <f t="shared" si="36"/>
        <v>78.040000000000006</v>
      </c>
    </row>
    <row r="96" spans="1:30">
      <c r="A96" s="350"/>
      <c r="B96" s="350"/>
      <c r="C96" s="350"/>
      <c r="D96" s="350"/>
      <c r="E96" s="44"/>
      <c r="F96" s="44"/>
      <c r="O96" s="105"/>
      <c r="P96" s="157">
        <f t="shared" si="29"/>
        <v>1310</v>
      </c>
      <c r="Q96" s="161">
        <f t="shared" si="37"/>
        <v>244.43</v>
      </c>
      <c r="R96" s="161">
        <f t="shared" si="38"/>
        <v>186.15</v>
      </c>
      <c r="S96" s="161">
        <f t="shared" si="39"/>
        <v>186.15</v>
      </c>
      <c r="T96" s="161">
        <f t="shared" si="40"/>
        <v>128.01</v>
      </c>
      <c r="U96" s="479">
        <f t="shared" si="41"/>
        <v>1310</v>
      </c>
      <c r="V96" s="478">
        <f t="shared" si="42"/>
        <v>186.15</v>
      </c>
      <c r="X96" s="157">
        <f t="shared" si="30"/>
        <v>1210</v>
      </c>
      <c r="Y96" s="158">
        <f t="shared" si="31"/>
        <v>100</v>
      </c>
      <c r="Z96" s="158">
        <f t="shared" si="32"/>
        <v>100</v>
      </c>
      <c r="AA96" s="158">
        <f t="shared" si="33"/>
        <v>77.05</v>
      </c>
      <c r="AB96" s="158">
        <f t="shared" si="34"/>
        <v>75</v>
      </c>
      <c r="AC96" s="479">
        <f t="shared" si="35"/>
        <v>1210</v>
      </c>
      <c r="AD96" s="478">
        <f t="shared" si="36"/>
        <v>77.05</v>
      </c>
    </row>
    <row r="97" spans="1:30">
      <c r="A97" s="83"/>
      <c r="B97" s="83"/>
      <c r="C97" s="83"/>
      <c r="D97" s="83"/>
      <c r="O97" s="105"/>
      <c r="P97" s="157">
        <f t="shared" si="29"/>
        <v>1320</v>
      </c>
      <c r="Q97" s="161">
        <f t="shared" si="37"/>
        <v>241.06</v>
      </c>
      <c r="R97" s="161">
        <f t="shared" si="38"/>
        <v>183.54</v>
      </c>
      <c r="S97" s="161">
        <f t="shared" si="39"/>
        <v>183.54</v>
      </c>
      <c r="T97" s="161">
        <f t="shared" si="40"/>
        <v>126.3</v>
      </c>
      <c r="U97" s="479">
        <f t="shared" si="41"/>
        <v>1320</v>
      </c>
      <c r="V97" s="478">
        <f t="shared" si="42"/>
        <v>183.54</v>
      </c>
      <c r="X97" s="157">
        <f t="shared" si="30"/>
        <v>1220</v>
      </c>
      <c r="Y97" s="158">
        <f t="shared" si="31"/>
        <v>100</v>
      </c>
      <c r="Z97" s="158">
        <f t="shared" si="32"/>
        <v>100</v>
      </c>
      <c r="AA97" s="158">
        <f t="shared" si="33"/>
        <v>76.09</v>
      </c>
      <c r="AB97" s="158">
        <f t="shared" si="34"/>
        <v>75</v>
      </c>
      <c r="AC97" s="479">
        <f t="shared" si="35"/>
        <v>1220</v>
      </c>
      <c r="AD97" s="478">
        <f t="shared" si="36"/>
        <v>76.09</v>
      </c>
    </row>
    <row r="98" spans="1:30">
      <c r="A98" s="351"/>
      <c r="B98" s="351"/>
      <c r="C98" s="352"/>
      <c r="D98" s="83"/>
      <c r="E98" s="116"/>
      <c r="F98" s="116"/>
      <c r="O98" s="105"/>
      <c r="P98" s="157">
        <f t="shared" si="29"/>
        <v>1330</v>
      </c>
      <c r="Q98" s="161">
        <f t="shared" si="37"/>
        <v>237.74</v>
      </c>
      <c r="R98" s="161">
        <f t="shared" si="38"/>
        <v>180.96</v>
      </c>
      <c r="S98" s="161">
        <f t="shared" si="39"/>
        <v>180.96</v>
      </c>
      <c r="T98" s="161">
        <f t="shared" si="40"/>
        <v>124.65</v>
      </c>
      <c r="U98" s="479">
        <f t="shared" si="41"/>
        <v>1330</v>
      </c>
      <c r="V98" s="478">
        <f t="shared" si="42"/>
        <v>180.96</v>
      </c>
      <c r="X98" s="157">
        <f t="shared" si="30"/>
        <v>1230</v>
      </c>
      <c r="Y98" s="158">
        <f t="shared" si="31"/>
        <v>100</v>
      </c>
      <c r="Z98" s="158">
        <f t="shared" si="32"/>
        <v>100</v>
      </c>
      <c r="AA98" s="158">
        <f t="shared" si="33"/>
        <v>75.180000000000007</v>
      </c>
      <c r="AB98" s="158">
        <f t="shared" si="34"/>
        <v>75</v>
      </c>
      <c r="AC98" s="479">
        <f t="shared" si="35"/>
        <v>1230</v>
      </c>
      <c r="AD98" s="478">
        <f t="shared" si="36"/>
        <v>75.180000000000007</v>
      </c>
    </row>
    <row r="99" spans="1:30">
      <c r="A99" s="328"/>
      <c r="B99" s="328"/>
      <c r="C99" s="328"/>
      <c r="D99" s="83"/>
      <c r="E99" s="132"/>
      <c r="F99" s="132"/>
      <c r="O99" s="105"/>
      <c r="P99" s="157">
        <f t="shared" si="29"/>
        <v>1340</v>
      </c>
      <c r="Q99" s="161">
        <f t="shared" si="37"/>
        <v>234.48</v>
      </c>
      <c r="R99" s="161">
        <f t="shared" si="38"/>
        <v>178.42</v>
      </c>
      <c r="S99" s="161">
        <f t="shared" si="39"/>
        <v>178.42</v>
      </c>
      <c r="T99" s="161">
        <f t="shared" si="40"/>
        <v>123.05</v>
      </c>
      <c r="U99" s="479">
        <f t="shared" si="41"/>
        <v>1340</v>
      </c>
      <c r="V99" s="478">
        <f t="shared" si="42"/>
        <v>178.42</v>
      </c>
      <c r="X99" s="157">
        <f t="shared" si="30"/>
        <v>1240</v>
      </c>
      <c r="Y99" s="158">
        <f t="shared" si="31"/>
        <v>100</v>
      </c>
      <c r="Z99" s="158">
        <f t="shared" si="32"/>
        <v>100</v>
      </c>
      <c r="AA99" s="158">
        <f t="shared" si="33"/>
        <v>75</v>
      </c>
      <c r="AB99" s="158">
        <f t="shared" si="34"/>
        <v>75</v>
      </c>
      <c r="AC99" s="479">
        <f t="shared" si="35"/>
        <v>1240</v>
      </c>
      <c r="AD99" s="478">
        <f t="shared" si="36"/>
        <v>75</v>
      </c>
    </row>
    <row r="100" spans="1:30">
      <c r="A100" s="328"/>
      <c r="B100" s="328"/>
      <c r="C100" s="328"/>
      <c r="D100" s="83"/>
      <c r="E100" s="132"/>
      <c r="F100" s="132"/>
      <c r="O100" s="105"/>
      <c r="P100" s="157">
        <f t="shared" si="29"/>
        <v>1350</v>
      </c>
      <c r="Q100" s="161">
        <f t="shared" si="37"/>
        <v>231.27</v>
      </c>
      <c r="R100" s="161">
        <f t="shared" si="38"/>
        <v>175.92</v>
      </c>
      <c r="S100" s="161">
        <f t="shared" si="39"/>
        <v>175.92</v>
      </c>
      <c r="T100" s="161">
        <f t="shared" si="40"/>
        <v>121.49</v>
      </c>
      <c r="U100" s="479">
        <f t="shared" si="41"/>
        <v>1350</v>
      </c>
      <c r="V100" s="478">
        <f t="shared" si="42"/>
        <v>175.92</v>
      </c>
      <c r="X100" s="157">
        <f t="shared" si="30"/>
        <v>1250</v>
      </c>
      <c r="Y100" s="158">
        <f t="shared" si="31"/>
        <v>100</v>
      </c>
      <c r="Z100" s="158">
        <f t="shared" si="32"/>
        <v>100</v>
      </c>
      <c r="AA100" s="158">
        <f t="shared" si="33"/>
        <v>75</v>
      </c>
      <c r="AB100" s="158">
        <f t="shared" si="34"/>
        <v>75</v>
      </c>
      <c r="AC100" s="479">
        <f t="shared" si="35"/>
        <v>1250</v>
      </c>
      <c r="AD100" s="478">
        <f t="shared" si="36"/>
        <v>75</v>
      </c>
    </row>
    <row r="101" spans="1:30">
      <c r="A101" s="353"/>
      <c r="B101" s="353"/>
      <c r="C101" s="343"/>
      <c r="D101" s="343"/>
      <c r="E101" s="132"/>
      <c r="F101" s="132"/>
      <c r="O101" s="105"/>
      <c r="P101" s="157">
        <f t="shared" si="29"/>
        <v>1360</v>
      </c>
      <c r="Q101" s="161">
        <f t="shared" si="37"/>
        <v>228.1</v>
      </c>
      <c r="R101" s="161">
        <f t="shared" si="38"/>
        <v>173.45</v>
      </c>
      <c r="S101" s="161">
        <f t="shared" si="39"/>
        <v>173.45</v>
      </c>
      <c r="T101" s="161">
        <f t="shared" si="40"/>
        <v>119.98</v>
      </c>
      <c r="U101" s="479">
        <f t="shared" si="41"/>
        <v>1360</v>
      </c>
      <c r="V101" s="478">
        <f t="shared" si="42"/>
        <v>173.45</v>
      </c>
      <c r="X101" s="157">
        <f t="shared" si="30"/>
        <v>1260</v>
      </c>
      <c r="Y101" s="158">
        <f t="shared" si="31"/>
        <v>100</v>
      </c>
      <c r="Z101" s="158">
        <f t="shared" si="32"/>
        <v>100</v>
      </c>
      <c r="AA101" s="158">
        <f t="shared" si="33"/>
        <v>75</v>
      </c>
      <c r="AB101" s="158">
        <f t="shared" si="34"/>
        <v>75</v>
      </c>
      <c r="AC101" s="479">
        <f t="shared" si="35"/>
        <v>1260</v>
      </c>
      <c r="AD101" s="478">
        <f t="shared" si="36"/>
        <v>75</v>
      </c>
    </row>
    <row r="102" spans="1:30">
      <c r="A102" s="131"/>
      <c r="B102" s="83"/>
      <c r="C102" s="343"/>
      <c r="D102" s="343"/>
      <c r="E102" s="132"/>
      <c r="F102" s="132"/>
      <c r="O102" s="105"/>
      <c r="P102" s="157">
        <f t="shared" si="29"/>
        <v>1370</v>
      </c>
      <c r="Q102" s="161">
        <f t="shared" si="37"/>
        <v>225</v>
      </c>
      <c r="R102" s="161">
        <f t="shared" si="38"/>
        <v>171.02</v>
      </c>
      <c r="S102" s="161">
        <f t="shared" si="39"/>
        <v>171.02</v>
      </c>
      <c r="T102" s="161">
        <f t="shared" si="40"/>
        <v>118.52</v>
      </c>
      <c r="U102" s="479">
        <f t="shared" si="41"/>
        <v>1370</v>
      </c>
      <c r="V102" s="478">
        <f t="shared" si="42"/>
        <v>171.02</v>
      </c>
      <c r="X102" s="157">
        <f t="shared" si="30"/>
        <v>1270</v>
      </c>
      <c r="Y102" s="158">
        <f t="shared" si="31"/>
        <v>100</v>
      </c>
      <c r="Z102" s="158">
        <f t="shared" si="32"/>
        <v>100</v>
      </c>
      <c r="AA102" s="158">
        <f t="shared" si="33"/>
        <v>75</v>
      </c>
      <c r="AB102" s="158">
        <f t="shared" si="34"/>
        <v>75</v>
      </c>
      <c r="AC102" s="479">
        <f t="shared" si="35"/>
        <v>1270</v>
      </c>
      <c r="AD102" s="478">
        <f t="shared" si="36"/>
        <v>75</v>
      </c>
    </row>
    <row r="103" spans="1:30">
      <c r="A103" s="353"/>
      <c r="B103" s="353"/>
      <c r="C103" s="343"/>
      <c r="D103" s="343"/>
      <c r="O103" s="105"/>
      <c r="P103" s="157">
        <f t="shared" si="29"/>
        <v>1380</v>
      </c>
      <c r="Q103" s="161">
        <f t="shared" si="37"/>
        <v>221.94</v>
      </c>
      <c r="R103" s="161">
        <f t="shared" si="38"/>
        <v>168.62</v>
      </c>
      <c r="S103" s="161">
        <f t="shared" si="39"/>
        <v>168.62</v>
      </c>
      <c r="T103" s="161">
        <f t="shared" si="40"/>
        <v>117.11</v>
      </c>
      <c r="U103" s="479">
        <f t="shared" si="41"/>
        <v>1380</v>
      </c>
      <c r="V103" s="478">
        <f t="shared" si="42"/>
        <v>168.62</v>
      </c>
      <c r="X103" s="157">
        <f t="shared" si="30"/>
        <v>1280</v>
      </c>
      <c r="Y103" s="158">
        <f t="shared" si="31"/>
        <v>100</v>
      </c>
      <c r="Z103" s="158">
        <f t="shared" si="32"/>
        <v>100</v>
      </c>
      <c r="AA103" s="158">
        <f t="shared" si="33"/>
        <v>75</v>
      </c>
      <c r="AB103" s="158">
        <f t="shared" si="34"/>
        <v>75</v>
      </c>
      <c r="AC103" s="479">
        <f t="shared" si="35"/>
        <v>1280</v>
      </c>
      <c r="AD103" s="478">
        <f t="shared" si="36"/>
        <v>75</v>
      </c>
    </row>
    <row r="104" spans="1:30">
      <c r="A104" s="131"/>
      <c r="B104" s="83"/>
      <c r="C104" s="83"/>
      <c r="D104" s="83"/>
      <c r="O104" s="105"/>
      <c r="P104" s="157">
        <f t="shared" si="29"/>
        <v>1390</v>
      </c>
      <c r="Q104" s="161">
        <f t="shared" si="37"/>
        <v>218.93</v>
      </c>
      <c r="R104" s="161">
        <f t="shared" si="38"/>
        <v>166.26</v>
      </c>
      <c r="S104" s="161">
        <f t="shared" si="39"/>
        <v>166.26</v>
      </c>
      <c r="T104" s="161">
        <f t="shared" si="40"/>
        <v>115.74</v>
      </c>
      <c r="U104" s="479">
        <f t="shared" si="41"/>
        <v>1390</v>
      </c>
      <c r="V104" s="478">
        <f t="shared" si="42"/>
        <v>166.26</v>
      </c>
      <c r="X104" s="157">
        <f t="shared" si="30"/>
        <v>1290</v>
      </c>
      <c r="Y104" s="158">
        <f t="shared" si="31"/>
        <v>100</v>
      </c>
      <c r="Z104" s="158">
        <f t="shared" si="32"/>
        <v>100</v>
      </c>
      <c r="AA104" s="158">
        <f t="shared" si="33"/>
        <v>75</v>
      </c>
      <c r="AB104" s="158">
        <f t="shared" si="34"/>
        <v>75</v>
      </c>
      <c r="AC104" s="479">
        <f t="shared" si="35"/>
        <v>1290</v>
      </c>
      <c r="AD104" s="478">
        <f t="shared" si="36"/>
        <v>75</v>
      </c>
    </row>
    <row r="105" spans="1:30">
      <c r="A105" s="83"/>
      <c r="B105" s="83"/>
      <c r="C105" s="83"/>
      <c r="D105" s="83"/>
      <c r="O105" s="105"/>
      <c r="P105" s="157">
        <f t="shared" si="29"/>
        <v>1400</v>
      </c>
      <c r="Q105" s="161">
        <f t="shared" si="37"/>
        <v>215.97</v>
      </c>
      <c r="R105" s="161">
        <f t="shared" si="38"/>
        <v>163.93</v>
      </c>
      <c r="S105" s="161">
        <f t="shared" si="39"/>
        <v>163.93</v>
      </c>
      <c r="T105" s="161">
        <f t="shared" si="40"/>
        <v>114.42</v>
      </c>
      <c r="U105" s="479">
        <f t="shared" si="41"/>
        <v>1400</v>
      </c>
      <c r="V105" s="478">
        <f t="shared" si="42"/>
        <v>163.93</v>
      </c>
      <c r="X105" s="157">
        <f t="shared" si="30"/>
        <v>1300</v>
      </c>
      <c r="Y105" s="158">
        <f t="shared" si="31"/>
        <v>100</v>
      </c>
      <c r="Z105" s="158">
        <f t="shared" si="32"/>
        <v>100</v>
      </c>
      <c r="AA105" s="158">
        <f t="shared" si="33"/>
        <v>75</v>
      </c>
      <c r="AB105" s="158">
        <f t="shared" si="34"/>
        <v>75</v>
      </c>
      <c r="AC105" s="479">
        <f t="shared" si="35"/>
        <v>1300</v>
      </c>
      <c r="AD105" s="478">
        <f t="shared" si="36"/>
        <v>75</v>
      </c>
    </row>
    <row r="106" spans="1:30">
      <c r="A106" s="354"/>
      <c r="B106" s="355"/>
      <c r="C106" s="83"/>
      <c r="D106" s="83"/>
      <c r="O106" s="105"/>
      <c r="P106" s="157">
        <f t="shared" si="29"/>
        <v>1410</v>
      </c>
      <c r="Q106" s="161">
        <f t="shared" si="37"/>
        <v>213.07</v>
      </c>
      <c r="R106" s="161">
        <f t="shared" si="38"/>
        <v>161.63999999999999</v>
      </c>
      <c r="S106" s="161">
        <f t="shared" si="39"/>
        <v>161.63999999999999</v>
      </c>
      <c r="T106" s="161">
        <f t="shared" si="40"/>
        <v>113.15</v>
      </c>
      <c r="U106" s="479">
        <f t="shared" si="41"/>
        <v>1410</v>
      </c>
      <c r="V106" s="478">
        <f t="shared" si="42"/>
        <v>161.63999999999999</v>
      </c>
      <c r="X106" s="388"/>
      <c r="Y106" s="388"/>
      <c r="Z106" s="388"/>
      <c r="AA106" s="388"/>
      <c r="AB106" s="388"/>
    </row>
    <row r="107" spans="1:30">
      <c r="A107" s="74"/>
      <c r="B107" s="74"/>
      <c r="O107" s="105"/>
      <c r="P107" s="157">
        <f t="shared" si="29"/>
        <v>1420</v>
      </c>
      <c r="Q107" s="161">
        <f t="shared" si="37"/>
        <v>210.21</v>
      </c>
      <c r="R107" s="161">
        <f t="shared" si="38"/>
        <v>159.38</v>
      </c>
      <c r="S107" s="161">
        <f t="shared" si="39"/>
        <v>159.38</v>
      </c>
      <c r="T107" s="161">
        <f t="shared" si="40"/>
        <v>111.92</v>
      </c>
      <c r="U107" s="479">
        <f t="shared" si="41"/>
        <v>1420</v>
      </c>
      <c r="V107" s="478">
        <f t="shared" si="42"/>
        <v>159.38</v>
      </c>
      <c r="X107" s="389"/>
      <c r="Y107" s="389"/>
      <c r="Z107" s="389"/>
      <c r="AA107" s="389"/>
      <c r="AB107" s="389"/>
    </row>
    <row r="108" spans="1:30">
      <c r="O108" s="105"/>
      <c r="P108" s="157">
        <f t="shared" si="29"/>
        <v>1430</v>
      </c>
      <c r="Q108" s="161">
        <f t="shared" si="37"/>
        <v>207.4</v>
      </c>
      <c r="R108" s="161">
        <f t="shared" si="38"/>
        <v>157.16</v>
      </c>
      <c r="S108" s="161">
        <f t="shared" si="39"/>
        <v>157.16</v>
      </c>
      <c r="T108" s="161">
        <f t="shared" si="40"/>
        <v>110.74</v>
      </c>
      <c r="U108" s="479">
        <f t="shared" si="41"/>
        <v>1430</v>
      </c>
      <c r="V108" s="478">
        <f t="shared" si="42"/>
        <v>157.16</v>
      </c>
      <c r="X108" s="389"/>
      <c r="Y108" s="389"/>
      <c r="Z108" s="389"/>
      <c r="AA108" s="389"/>
      <c r="AB108" s="389"/>
    </row>
    <row r="109" spans="1:30">
      <c r="O109" s="105"/>
      <c r="P109" s="157">
        <f t="shared" si="29"/>
        <v>1440</v>
      </c>
      <c r="Q109" s="161">
        <f t="shared" si="37"/>
        <v>204.64</v>
      </c>
      <c r="R109" s="161">
        <f t="shared" si="38"/>
        <v>154.97</v>
      </c>
      <c r="S109" s="161">
        <f t="shared" si="39"/>
        <v>154.97</v>
      </c>
      <c r="T109" s="161">
        <f t="shared" si="40"/>
        <v>109.6</v>
      </c>
      <c r="U109" s="479">
        <f t="shared" si="41"/>
        <v>1440</v>
      </c>
      <c r="V109" s="478">
        <f t="shared" si="42"/>
        <v>154.97</v>
      </c>
      <c r="X109" s="389"/>
      <c r="Y109" s="389"/>
      <c r="Z109" s="389"/>
      <c r="AA109" s="389"/>
      <c r="AB109" s="389"/>
    </row>
    <row r="110" spans="1:30">
      <c r="O110" s="105"/>
      <c r="P110" s="157">
        <f t="shared" si="29"/>
        <v>1450</v>
      </c>
      <c r="Q110" s="161">
        <f t="shared" si="37"/>
        <v>201.93</v>
      </c>
      <c r="R110" s="161">
        <f t="shared" si="38"/>
        <v>152.81</v>
      </c>
      <c r="S110" s="161">
        <f t="shared" si="39"/>
        <v>152.81</v>
      </c>
      <c r="T110" s="161">
        <f t="shared" si="40"/>
        <v>108.5</v>
      </c>
      <c r="U110" s="479">
        <f t="shared" si="41"/>
        <v>1450</v>
      </c>
      <c r="V110" s="478">
        <f t="shared" si="42"/>
        <v>152.81</v>
      </c>
      <c r="X110" s="389"/>
      <c r="Y110" s="389"/>
      <c r="Z110" s="389"/>
      <c r="AA110" s="389"/>
      <c r="AB110" s="389"/>
    </row>
    <row r="111" spans="1:30">
      <c r="O111" s="97"/>
      <c r="P111" s="157">
        <f t="shared" si="29"/>
        <v>1460</v>
      </c>
      <c r="Q111" s="161">
        <f t="shared" si="37"/>
        <v>199.27</v>
      </c>
      <c r="R111" s="161">
        <f t="shared" si="38"/>
        <v>150.68</v>
      </c>
      <c r="S111" s="161">
        <f t="shared" si="39"/>
        <v>150.68</v>
      </c>
      <c r="T111" s="161">
        <f t="shared" si="40"/>
        <v>107.45</v>
      </c>
      <c r="U111" s="479">
        <f t="shared" si="41"/>
        <v>1460</v>
      </c>
      <c r="V111" s="478">
        <f t="shared" si="42"/>
        <v>150.68</v>
      </c>
      <c r="X111" s="389"/>
      <c r="Y111" s="389"/>
      <c r="Z111" s="389"/>
      <c r="AA111" s="389"/>
      <c r="AB111" s="389"/>
    </row>
    <row r="112" spans="1:30">
      <c r="O112" s="97"/>
      <c r="P112" s="157">
        <f t="shared" si="29"/>
        <v>1470</v>
      </c>
      <c r="Q112" s="161">
        <f t="shared" si="37"/>
        <v>196.66</v>
      </c>
      <c r="R112" s="161">
        <f t="shared" si="38"/>
        <v>148.59</v>
      </c>
      <c r="S112" s="161">
        <f t="shared" si="39"/>
        <v>150</v>
      </c>
      <c r="T112" s="161">
        <f t="shared" si="40"/>
        <v>106.44</v>
      </c>
      <c r="U112" s="479">
        <f t="shared" si="41"/>
        <v>1470</v>
      </c>
      <c r="V112" s="478">
        <f t="shared" si="42"/>
        <v>148.59</v>
      </c>
      <c r="X112" s="389"/>
      <c r="Y112" s="389"/>
      <c r="Z112" s="389"/>
      <c r="AA112" s="389"/>
      <c r="AB112" s="389"/>
    </row>
    <row r="113" spans="15:28">
      <c r="O113" s="97"/>
      <c r="P113" s="157">
        <f t="shared" si="29"/>
        <v>1480</v>
      </c>
      <c r="Q113" s="161">
        <f t="shared" si="37"/>
        <v>194.09</v>
      </c>
      <c r="R113" s="161">
        <f t="shared" si="38"/>
        <v>146.53</v>
      </c>
      <c r="S113" s="161">
        <f t="shared" si="39"/>
        <v>150</v>
      </c>
      <c r="T113" s="161">
        <f t="shared" si="40"/>
        <v>105.47</v>
      </c>
      <c r="U113" s="479">
        <f t="shared" si="41"/>
        <v>1480</v>
      </c>
      <c r="V113" s="478">
        <f t="shared" si="42"/>
        <v>146.53</v>
      </c>
      <c r="X113" s="389"/>
      <c r="Y113" s="389"/>
      <c r="Z113" s="389"/>
      <c r="AA113" s="389"/>
      <c r="AB113" s="389"/>
    </row>
    <row r="114" spans="15:28">
      <c r="O114" s="97"/>
      <c r="P114" s="157">
        <f t="shared" si="29"/>
        <v>1490</v>
      </c>
      <c r="Q114" s="161">
        <f t="shared" si="37"/>
        <v>191.57</v>
      </c>
      <c r="R114" s="161">
        <f t="shared" si="38"/>
        <v>144.5</v>
      </c>
      <c r="S114" s="161">
        <f t="shared" si="39"/>
        <v>150</v>
      </c>
      <c r="T114" s="161">
        <f t="shared" si="40"/>
        <v>104.55</v>
      </c>
      <c r="U114" s="479">
        <f t="shared" si="41"/>
        <v>1490</v>
      </c>
      <c r="V114" s="478">
        <f t="shared" si="42"/>
        <v>144.5</v>
      </c>
      <c r="X114" s="389"/>
      <c r="Y114" s="389"/>
      <c r="Z114" s="389"/>
      <c r="AA114" s="389"/>
      <c r="AB114" s="389"/>
    </row>
    <row r="115" spans="15:28">
      <c r="O115" s="97"/>
      <c r="P115" s="157">
        <f t="shared" si="29"/>
        <v>1500</v>
      </c>
      <c r="Q115" s="161">
        <f t="shared" si="37"/>
        <v>189.1</v>
      </c>
      <c r="R115" s="161">
        <f t="shared" si="38"/>
        <v>142.5</v>
      </c>
      <c r="S115" s="161">
        <f t="shared" si="39"/>
        <v>150</v>
      </c>
      <c r="T115" s="161">
        <f t="shared" si="40"/>
        <v>103.66</v>
      </c>
      <c r="U115" s="479">
        <f t="shared" si="41"/>
        <v>1500</v>
      </c>
      <c r="V115" s="478">
        <f t="shared" si="42"/>
        <v>142.5</v>
      </c>
      <c r="X115" s="389"/>
      <c r="Y115" s="389"/>
      <c r="Z115" s="389"/>
      <c r="AA115" s="389"/>
      <c r="AB115" s="389"/>
    </row>
    <row r="116" spans="15:28">
      <c r="O116" s="97"/>
      <c r="P116" s="157">
        <f t="shared" si="29"/>
        <v>1510</v>
      </c>
      <c r="Q116" s="161">
        <f t="shared" si="37"/>
        <v>186.67</v>
      </c>
      <c r="R116" s="161">
        <f t="shared" si="38"/>
        <v>140.53</v>
      </c>
      <c r="S116" s="161">
        <f t="shared" si="39"/>
        <v>150</v>
      </c>
      <c r="T116" s="161">
        <f t="shared" si="40"/>
        <v>102.81</v>
      </c>
      <c r="U116" s="479">
        <f t="shared" si="41"/>
        <v>1510</v>
      </c>
      <c r="V116" s="478">
        <f t="shared" si="42"/>
        <v>140.53</v>
      </c>
      <c r="X116" s="389"/>
      <c r="Y116" s="389"/>
      <c r="Z116" s="389"/>
      <c r="AA116" s="389"/>
      <c r="AB116" s="389"/>
    </row>
    <row r="117" spans="15:28">
      <c r="O117" s="97"/>
      <c r="P117" s="157">
        <f t="shared" si="29"/>
        <v>1520</v>
      </c>
      <c r="Q117" s="161">
        <f t="shared" si="37"/>
        <v>184.28</v>
      </c>
      <c r="R117" s="161">
        <f t="shared" si="38"/>
        <v>138.6</v>
      </c>
      <c r="S117" s="161">
        <f t="shared" si="39"/>
        <v>150</v>
      </c>
      <c r="T117" s="161">
        <f t="shared" si="40"/>
        <v>102.01</v>
      </c>
      <c r="U117" s="479">
        <f t="shared" si="41"/>
        <v>1520</v>
      </c>
      <c r="V117" s="478">
        <f t="shared" si="42"/>
        <v>138.6</v>
      </c>
      <c r="X117" s="389"/>
      <c r="Y117" s="389"/>
      <c r="Z117" s="389"/>
      <c r="AA117" s="389"/>
      <c r="AB117" s="389"/>
    </row>
    <row r="118" spans="15:28">
      <c r="O118" s="97"/>
      <c r="P118" s="157">
        <f t="shared" si="29"/>
        <v>1530</v>
      </c>
      <c r="Q118" s="161">
        <f t="shared" si="37"/>
        <v>181.94</v>
      </c>
      <c r="R118" s="161">
        <f t="shared" si="38"/>
        <v>136.69</v>
      </c>
      <c r="S118" s="161">
        <f t="shared" si="39"/>
        <v>150</v>
      </c>
      <c r="T118" s="161">
        <f t="shared" si="40"/>
        <v>101.24</v>
      </c>
      <c r="U118" s="479">
        <f t="shared" si="41"/>
        <v>1530</v>
      </c>
      <c r="V118" s="478">
        <f t="shared" si="42"/>
        <v>136.69</v>
      </c>
      <c r="X118" s="389"/>
      <c r="Y118" s="389"/>
      <c r="Z118" s="389"/>
      <c r="AA118" s="389"/>
      <c r="AB118" s="389"/>
    </row>
    <row r="119" spans="15:28">
      <c r="O119" s="97"/>
      <c r="P119" s="157">
        <f t="shared" si="29"/>
        <v>1540</v>
      </c>
      <c r="Q119" s="161">
        <f t="shared" si="37"/>
        <v>179.64</v>
      </c>
      <c r="R119" s="161">
        <f t="shared" si="38"/>
        <v>134.81</v>
      </c>
      <c r="S119" s="161">
        <f t="shared" si="39"/>
        <v>150</v>
      </c>
      <c r="T119" s="161">
        <f t="shared" si="40"/>
        <v>100.51</v>
      </c>
      <c r="U119" s="479">
        <f t="shared" si="41"/>
        <v>1540</v>
      </c>
      <c r="V119" s="478">
        <f t="shared" si="42"/>
        <v>134.81</v>
      </c>
      <c r="X119" s="389"/>
      <c r="Y119" s="389"/>
      <c r="Z119" s="389"/>
      <c r="AA119" s="389"/>
      <c r="AB119" s="389"/>
    </row>
    <row r="120" spans="15:28">
      <c r="O120" s="97"/>
      <c r="P120" s="157">
        <f t="shared" si="29"/>
        <v>1550</v>
      </c>
      <c r="Q120" s="161">
        <f t="shared" si="37"/>
        <v>177.39</v>
      </c>
      <c r="R120" s="161">
        <f t="shared" si="38"/>
        <v>132.97</v>
      </c>
      <c r="S120" s="161">
        <f t="shared" si="39"/>
        <v>150</v>
      </c>
      <c r="T120" s="161">
        <f t="shared" si="40"/>
        <v>100</v>
      </c>
      <c r="U120" s="479">
        <f t="shared" si="41"/>
        <v>1550</v>
      </c>
      <c r="V120" s="478">
        <f t="shared" si="42"/>
        <v>132.97</v>
      </c>
      <c r="X120" s="389"/>
      <c r="Y120" s="389"/>
      <c r="Z120" s="389"/>
      <c r="AA120" s="389"/>
      <c r="AB120" s="389"/>
    </row>
    <row r="121" spans="15:28">
      <c r="O121" s="97"/>
      <c r="P121" s="157">
        <f t="shared" si="29"/>
        <v>1560</v>
      </c>
      <c r="Q121" s="161">
        <f t="shared" si="37"/>
        <v>175.18</v>
      </c>
      <c r="R121" s="161">
        <f t="shared" si="38"/>
        <v>131.15</v>
      </c>
      <c r="S121" s="161">
        <f t="shared" si="39"/>
        <v>150</v>
      </c>
      <c r="T121" s="161">
        <f t="shared" si="40"/>
        <v>100</v>
      </c>
      <c r="U121" s="479">
        <f t="shared" si="41"/>
        <v>1560</v>
      </c>
      <c r="V121" s="478">
        <f t="shared" si="42"/>
        <v>131.15</v>
      </c>
      <c r="X121" s="389"/>
      <c r="Y121" s="389"/>
      <c r="Z121" s="389"/>
      <c r="AA121" s="389"/>
      <c r="AB121" s="389"/>
    </row>
    <row r="122" spans="15:28">
      <c r="O122" s="97"/>
      <c r="P122" s="157">
        <f t="shared" si="29"/>
        <v>1570</v>
      </c>
      <c r="Q122" s="161">
        <f t="shared" si="37"/>
        <v>173</v>
      </c>
      <c r="R122" s="161">
        <f t="shared" si="38"/>
        <v>129.35</v>
      </c>
      <c r="S122" s="161">
        <f t="shared" si="39"/>
        <v>150</v>
      </c>
      <c r="T122" s="161">
        <f t="shared" si="40"/>
        <v>100</v>
      </c>
      <c r="U122" s="479">
        <f t="shared" si="41"/>
        <v>1570</v>
      </c>
      <c r="V122" s="478">
        <f t="shared" si="42"/>
        <v>129.35</v>
      </c>
      <c r="X122" s="389"/>
      <c r="Y122" s="389"/>
      <c r="Z122" s="389"/>
      <c r="AA122" s="389"/>
      <c r="AB122" s="389"/>
    </row>
    <row r="123" spans="15:28">
      <c r="O123" s="97"/>
      <c r="P123" s="157">
        <f t="shared" si="29"/>
        <v>1580</v>
      </c>
      <c r="Q123" s="161">
        <f t="shared" si="37"/>
        <v>170.87</v>
      </c>
      <c r="R123" s="161">
        <f t="shared" si="38"/>
        <v>127.59</v>
      </c>
      <c r="S123" s="161">
        <f t="shared" si="39"/>
        <v>150</v>
      </c>
      <c r="T123" s="161">
        <f t="shared" si="40"/>
        <v>100</v>
      </c>
      <c r="U123" s="479">
        <f t="shared" si="41"/>
        <v>1580</v>
      </c>
      <c r="V123" s="478">
        <f t="shared" si="42"/>
        <v>127.59</v>
      </c>
      <c r="X123" s="389"/>
      <c r="Y123" s="389"/>
      <c r="Z123" s="389"/>
      <c r="AA123" s="389"/>
      <c r="AB123" s="389"/>
    </row>
    <row r="124" spans="15:28">
      <c r="O124" s="97"/>
      <c r="P124" s="157">
        <f t="shared" si="29"/>
        <v>1590</v>
      </c>
      <c r="Q124" s="161">
        <f t="shared" si="37"/>
        <v>168.78</v>
      </c>
      <c r="R124" s="161">
        <f t="shared" si="38"/>
        <v>125.85</v>
      </c>
      <c r="S124" s="161">
        <f t="shared" si="39"/>
        <v>150</v>
      </c>
      <c r="T124" s="161">
        <f t="shared" si="40"/>
        <v>100</v>
      </c>
      <c r="U124" s="479">
        <f t="shared" si="41"/>
        <v>1590</v>
      </c>
      <c r="V124" s="478">
        <f t="shared" si="42"/>
        <v>125.85</v>
      </c>
      <c r="X124" s="389"/>
      <c r="Y124" s="389"/>
      <c r="Z124" s="389"/>
      <c r="AA124" s="389"/>
      <c r="AB124" s="389"/>
    </row>
    <row r="125" spans="15:28">
      <c r="O125" s="97"/>
      <c r="P125" s="157">
        <f t="shared" si="29"/>
        <v>1600</v>
      </c>
      <c r="Q125" s="161">
        <f t="shared" si="37"/>
        <v>166.73</v>
      </c>
      <c r="R125" s="161">
        <f t="shared" si="38"/>
        <v>124.14</v>
      </c>
      <c r="S125" s="161">
        <f t="shared" si="39"/>
        <v>150</v>
      </c>
      <c r="T125" s="161">
        <f t="shared" si="40"/>
        <v>100</v>
      </c>
      <c r="U125" s="479">
        <f t="shared" si="41"/>
        <v>1600</v>
      </c>
      <c r="V125" s="478">
        <f t="shared" si="42"/>
        <v>124.14</v>
      </c>
      <c r="X125" s="389"/>
      <c r="Y125" s="389"/>
      <c r="Z125" s="389"/>
      <c r="AA125" s="389"/>
      <c r="AB125" s="389"/>
    </row>
    <row r="126" spans="15:28">
      <c r="P126" s="157">
        <f t="shared" si="29"/>
        <v>1610</v>
      </c>
      <c r="Q126" s="161">
        <f t="shared" si="37"/>
        <v>164.71</v>
      </c>
      <c r="R126" s="161">
        <f t="shared" si="38"/>
        <v>122.46</v>
      </c>
      <c r="S126" s="161">
        <f t="shared" si="39"/>
        <v>150</v>
      </c>
      <c r="T126" s="161">
        <f t="shared" si="40"/>
        <v>100</v>
      </c>
      <c r="U126" s="479">
        <f t="shared" si="41"/>
        <v>1610</v>
      </c>
      <c r="V126" s="478">
        <f t="shared" si="42"/>
        <v>122.46</v>
      </c>
      <c r="X126" s="389"/>
      <c r="Y126" s="389"/>
      <c r="Z126" s="389"/>
      <c r="AA126" s="389"/>
      <c r="AB126" s="389"/>
    </row>
    <row r="127" spans="15:28">
      <c r="P127" s="157">
        <f t="shared" si="29"/>
        <v>1620</v>
      </c>
      <c r="Q127" s="161">
        <f t="shared" si="37"/>
        <v>162.74</v>
      </c>
      <c r="R127" s="161">
        <f t="shared" si="38"/>
        <v>120.8</v>
      </c>
      <c r="S127" s="161">
        <f t="shared" si="39"/>
        <v>150</v>
      </c>
      <c r="T127" s="161">
        <f t="shared" si="40"/>
        <v>100</v>
      </c>
      <c r="U127" s="479">
        <f t="shared" si="41"/>
        <v>1620</v>
      </c>
      <c r="V127" s="478">
        <f t="shared" si="42"/>
        <v>120.8</v>
      </c>
      <c r="X127" s="389"/>
      <c r="Y127" s="389"/>
      <c r="Z127" s="389"/>
      <c r="AA127" s="389"/>
      <c r="AB127" s="389"/>
    </row>
    <row r="128" spans="15:28">
      <c r="P128" s="157">
        <f t="shared" si="29"/>
        <v>1630</v>
      </c>
      <c r="Q128" s="161">
        <f t="shared" si="37"/>
        <v>160.79</v>
      </c>
      <c r="R128" s="161">
        <f t="shared" si="38"/>
        <v>119.17</v>
      </c>
      <c r="S128" s="161">
        <f t="shared" si="39"/>
        <v>150</v>
      </c>
      <c r="T128" s="161">
        <f t="shared" si="40"/>
        <v>100</v>
      </c>
      <c r="U128" s="479">
        <f t="shared" si="41"/>
        <v>1630</v>
      </c>
      <c r="V128" s="478">
        <f t="shared" si="42"/>
        <v>119.17</v>
      </c>
      <c r="X128" s="389"/>
      <c r="Y128" s="389"/>
      <c r="Z128" s="389"/>
      <c r="AA128" s="389"/>
      <c r="AB128" s="389"/>
    </row>
    <row r="129" spans="16:28">
      <c r="P129" s="157">
        <f t="shared" si="29"/>
        <v>1640</v>
      </c>
      <c r="Q129" s="161">
        <f t="shared" si="37"/>
        <v>158.88999999999999</v>
      </c>
      <c r="R129" s="161">
        <f t="shared" si="38"/>
        <v>117.56</v>
      </c>
      <c r="S129" s="161">
        <f t="shared" si="39"/>
        <v>150</v>
      </c>
      <c r="T129" s="161">
        <f t="shared" si="40"/>
        <v>100</v>
      </c>
      <c r="U129" s="479">
        <f t="shared" si="41"/>
        <v>1640</v>
      </c>
      <c r="V129" s="478">
        <f t="shared" si="42"/>
        <v>117.56</v>
      </c>
      <c r="X129" s="389"/>
      <c r="Y129" s="389"/>
      <c r="Z129" s="389"/>
      <c r="AA129" s="389"/>
      <c r="AB129" s="389"/>
    </row>
    <row r="130" spans="16:28">
      <c r="P130" s="157">
        <f t="shared" si="29"/>
        <v>1650</v>
      </c>
      <c r="Q130" s="161">
        <f t="shared" si="37"/>
        <v>157.01</v>
      </c>
      <c r="R130" s="161">
        <f t="shared" si="38"/>
        <v>115.97</v>
      </c>
      <c r="S130" s="161">
        <f t="shared" si="39"/>
        <v>150</v>
      </c>
      <c r="T130" s="161">
        <f t="shared" si="40"/>
        <v>100</v>
      </c>
      <c r="U130" s="479">
        <f t="shared" si="41"/>
        <v>1650</v>
      </c>
      <c r="V130" s="478">
        <f t="shared" si="42"/>
        <v>115.97</v>
      </c>
      <c r="X130" s="389"/>
      <c r="Y130" s="389"/>
      <c r="Z130" s="389"/>
      <c r="AA130" s="389"/>
      <c r="AB130" s="389"/>
    </row>
    <row r="131" spans="16:28">
      <c r="P131" s="157">
        <f t="shared" si="29"/>
        <v>1660</v>
      </c>
      <c r="Q131" s="161">
        <f t="shared" si="37"/>
        <v>155.18</v>
      </c>
      <c r="R131" s="161">
        <f t="shared" si="38"/>
        <v>114.41</v>
      </c>
      <c r="S131" s="161">
        <f t="shared" si="39"/>
        <v>150</v>
      </c>
      <c r="T131" s="161">
        <f t="shared" si="40"/>
        <v>100</v>
      </c>
      <c r="U131" s="479">
        <f t="shared" si="41"/>
        <v>1660</v>
      </c>
      <c r="V131" s="478">
        <f t="shared" si="42"/>
        <v>114.41</v>
      </c>
      <c r="X131" s="389"/>
      <c r="Y131" s="389"/>
      <c r="Z131" s="389"/>
      <c r="AA131" s="389"/>
      <c r="AB131" s="389"/>
    </row>
    <row r="132" spans="16:28">
      <c r="P132" s="157">
        <f t="shared" si="29"/>
        <v>1670</v>
      </c>
      <c r="Q132" s="161">
        <f t="shared" si="37"/>
        <v>153.37</v>
      </c>
      <c r="R132" s="161">
        <f t="shared" si="38"/>
        <v>112.87</v>
      </c>
      <c r="S132" s="161">
        <f t="shared" si="39"/>
        <v>150</v>
      </c>
      <c r="T132" s="161">
        <f t="shared" si="40"/>
        <v>100</v>
      </c>
      <c r="U132" s="479">
        <f t="shared" si="41"/>
        <v>1670</v>
      </c>
      <c r="V132" s="478">
        <f t="shared" si="42"/>
        <v>112.87</v>
      </c>
      <c r="X132" s="389"/>
      <c r="Y132" s="389"/>
      <c r="Z132" s="389"/>
      <c r="AA132" s="389"/>
      <c r="AB132" s="389"/>
    </row>
    <row r="133" spans="16:28">
      <c r="P133" s="157">
        <f t="shared" si="29"/>
        <v>1680</v>
      </c>
      <c r="Q133" s="161">
        <f t="shared" si="37"/>
        <v>151.59</v>
      </c>
      <c r="R133" s="161">
        <f t="shared" si="38"/>
        <v>111.35</v>
      </c>
      <c r="S133" s="161">
        <f t="shared" si="39"/>
        <v>150</v>
      </c>
      <c r="T133" s="161">
        <f t="shared" si="40"/>
        <v>100</v>
      </c>
      <c r="U133" s="479">
        <f t="shared" si="41"/>
        <v>1680</v>
      </c>
      <c r="V133" s="478">
        <f t="shared" si="42"/>
        <v>111.35</v>
      </c>
      <c r="X133" s="389"/>
      <c r="Y133" s="389"/>
      <c r="Z133" s="389"/>
      <c r="AA133" s="389"/>
      <c r="AB133" s="389"/>
    </row>
    <row r="134" spans="16:28">
      <c r="P134" s="157">
        <f t="shared" ref="P134:P145" si="43">P133+10</f>
        <v>1690</v>
      </c>
      <c r="Q134" s="161">
        <f t="shared" si="37"/>
        <v>150</v>
      </c>
      <c r="R134" s="161">
        <f t="shared" si="38"/>
        <v>109.86</v>
      </c>
      <c r="S134" s="161">
        <f t="shared" si="39"/>
        <v>150</v>
      </c>
      <c r="T134" s="161">
        <f t="shared" si="40"/>
        <v>100</v>
      </c>
      <c r="U134" s="479">
        <f t="shared" si="41"/>
        <v>1690</v>
      </c>
      <c r="V134" s="478">
        <f t="shared" si="42"/>
        <v>109.86</v>
      </c>
      <c r="X134" s="389"/>
      <c r="Y134" s="389"/>
      <c r="Z134" s="389"/>
      <c r="AA134" s="389"/>
      <c r="AB134" s="389"/>
    </row>
    <row r="135" spans="16:28">
      <c r="P135" s="157">
        <f t="shared" si="43"/>
        <v>1700</v>
      </c>
      <c r="Q135" s="161">
        <f t="shared" si="37"/>
        <v>150</v>
      </c>
      <c r="R135" s="161">
        <f t="shared" si="38"/>
        <v>108.38</v>
      </c>
      <c r="S135" s="161">
        <f t="shared" si="39"/>
        <v>150</v>
      </c>
      <c r="T135" s="161">
        <f t="shared" si="40"/>
        <v>100</v>
      </c>
      <c r="U135" s="479">
        <f t="shared" si="41"/>
        <v>1700</v>
      </c>
      <c r="V135" s="478">
        <f t="shared" si="42"/>
        <v>108.38</v>
      </c>
      <c r="X135" s="389"/>
      <c r="Y135" s="389"/>
      <c r="Z135" s="389"/>
      <c r="AA135" s="389"/>
      <c r="AB135" s="389"/>
    </row>
    <row r="136" spans="16:28">
      <c r="P136" s="157">
        <f t="shared" si="43"/>
        <v>1710</v>
      </c>
      <c r="Q136" s="161">
        <f t="shared" si="37"/>
        <v>150</v>
      </c>
      <c r="R136" s="161">
        <f t="shared" si="38"/>
        <v>106.93</v>
      </c>
      <c r="S136" s="161">
        <f t="shared" si="39"/>
        <v>150</v>
      </c>
      <c r="T136" s="161">
        <f t="shared" si="40"/>
        <v>100</v>
      </c>
      <c r="U136" s="479">
        <f t="shared" si="41"/>
        <v>1710</v>
      </c>
      <c r="V136" s="478">
        <f t="shared" si="42"/>
        <v>106.93</v>
      </c>
      <c r="X136" s="389"/>
      <c r="Y136" s="389"/>
      <c r="Z136" s="389"/>
      <c r="AA136" s="389"/>
      <c r="AB136" s="389"/>
    </row>
    <row r="137" spans="16:28">
      <c r="P137" s="157">
        <f t="shared" si="43"/>
        <v>1720</v>
      </c>
      <c r="Q137" s="161">
        <f t="shared" si="37"/>
        <v>150</v>
      </c>
      <c r="R137" s="161">
        <f t="shared" si="38"/>
        <v>105.49</v>
      </c>
      <c r="S137" s="161">
        <f t="shared" si="39"/>
        <v>150</v>
      </c>
      <c r="T137" s="161">
        <f t="shared" si="40"/>
        <v>100</v>
      </c>
      <c r="U137" s="479">
        <f t="shared" si="41"/>
        <v>1720</v>
      </c>
      <c r="V137" s="478">
        <f t="shared" si="42"/>
        <v>105.49</v>
      </c>
      <c r="X137" s="389"/>
      <c r="Y137" s="389"/>
      <c r="Z137" s="389"/>
      <c r="AA137" s="389"/>
      <c r="AB137" s="389"/>
    </row>
    <row r="138" spans="16:28">
      <c r="P138" s="157">
        <f t="shared" si="43"/>
        <v>1730</v>
      </c>
      <c r="Q138" s="161">
        <f t="shared" si="37"/>
        <v>150</v>
      </c>
      <c r="R138" s="161">
        <f t="shared" si="38"/>
        <v>104.08</v>
      </c>
      <c r="S138" s="161">
        <f t="shared" si="39"/>
        <v>150</v>
      </c>
      <c r="T138" s="161">
        <f t="shared" si="40"/>
        <v>100</v>
      </c>
      <c r="U138" s="479">
        <f t="shared" si="41"/>
        <v>1730</v>
      </c>
      <c r="V138" s="478">
        <f t="shared" si="42"/>
        <v>104.08</v>
      </c>
      <c r="X138" s="389"/>
      <c r="Y138" s="389"/>
      <c r="Z138" s="389"/>
      <c r="AA138" s="389"/>
      <c r="AB138" s="389"/>
    </row>
    <row r="139" spans="16:28">
      <c r="P139" s="157">
        <f t="shared" si="43"/>
        <v>1740</v>
      </c>
      <c r="Q139" s="161">
        <f t="shared" si="37"/>
        <v>150</v>
      </c>
      <c r="R139" s="161">
        <f t="shared" si="38"/>
        <v>102.68</v>
      </c>
      <c r="S139" s="161">
        <f t="shared" si="39"/>
        <v>150</v>
      </c>
      <c r="T139" s="161">
        <f t="shared" si="40"/>
        <v>100</v>
      </c>
      <c r="U139" s="479">
        <f t="shared" si="41"/>
        <v>1740</v>
      </c>
      <c r="V139" s="478">
        <f t="shared" si="42"/>
        <v>102.68</v>
      </c>
      <c r="X139" s="389"/>
      <c r="Y139" s="389"/>
      <c r="Z139" s="389"/>
      <c r="AA139" s="389"/>
      <c r="AB139" s="389"/>
    </row>
    <row r="140" spans="16:28">
      <c r="P140" s="157">
        <f t="shared" si="43"/>
        <v>1750</v>
      </c>
      <c r="Q140" s="161">
        <f t="shared" si="37"/>
        <v>150</v>
      </c>
      <c r="R140" s="161">
        <f t="shared" si="38"/>
        <v>101.3</v>
      </c>
      <c r="S140" s="161">
        <f t="shared" si="39"/>
        <v>150</v>
      </c>
      <c r="T140" s="161">
        <f t="shared" si="40"/>
        <v>100</v>
      </c>
      <c r="U140" s="479">
        <f t="shared" si="41"/>
        <v>1750</v>
      </c>
      <c r="V140" s="478">
        <f t="shared" si="42"/>
        <v>101.3</v>
      </c>
      <c r="X140" s="389"/>
      <c r="Y140" s="389"/>
      <c r="Z140" s="389"/>
      <c r="AA140" s="389"/>
      <c r="AB140" s="389"/>
    </row>
    <row r="141" spans="16:28">
      <c r="P141" s="157">
        <f t="shared" si="43"/>
        <v>1760</v>
      </c>
      <c r="Q141" s="161">
        <f t="shared" si="37"/>
        <v>150</v>
      </c>
      <c r="R141" s="161">
        <f t="shared" si="38"/>
        <v>100</v>
      </c>
      <c r="S141" s="161">
        <f t="shared" si="39"/>
        <v>150</v>
      </c>
      <c r="T141" s="161">
        <f t="shared" si="40"/>
        <v>100</v>
      </c>
      <c r="U141" s="479">
        <f t="shared" si="41"/>
        <v>1760</v>
      </c>
      <c r="V141" s="478">
        <f t="shared" si="42"/>
        <v>100</v>
      </c>
      <c r="X141" s="389"/>
      <c r="Y141" s="389"/>
      <c r="Z141" s="389"/>
      <c r="AA141" s="389"/>
      <c r="AB141" s="389"/>
    </row>
    <row r="142" spans="16:28">
      <c r="P142" s="157">
        <f t="shared" si="43"/>
        <v>1770</v>
      </c>
      <c r="Q142" s="161">
        <f t="shared" si="37"/>
        <v>150</v>
      </c>
      <c r="R142" s="161">
        <f t="shared" si="38"/>
        <v>100</v>
      </c>
      <c r="S142" s="161">
        <f t="shared" si="39"/>
        <v>150</v>
      </c>
      <c r="T142" s="161">
        <f t="shared" si="40"/>
        <v>100</v>
      </c>
      <c r="U142" s="479">
        <f t="shared" si="41"/>
        <v>1770</v>
      </c>
      <c r="V142" s="478">
        <f t="shared" si="42"/>
        <v>100</v>
      </c>
      <c r="X142" s="389"/>
      <c r="Y142" s="389"/>
      <c r="Z142" s="389"/>
      <c r="AA142" s="389"/>
      <c r="AB142" s="389"/>
    </row>
    <row r="143" spans="16:28">
      <c r="P143" s="157">
        <f t="shared" si="43"/>
        <v>1780</v>
      </c>
      <c r="Q143" s="161">
        <f t="shared" si="37"/>
        <v>150</v>
      </c>
      <c r="R143" s="161">
        <f t="shared" si="38"/>
        <v>100</v>
      </c>
      <c r="S143" s="161">
        <f t="shared" si="39"/>
        <v>150</v>
      </c>
      <c r="T143" s="161">
        <f t="shared" si="40"/>
        <v>100</v>
      </c>
      <c r="U143" s="479">
        <f t="shared" si="41"/>
        <v>1780</v>
      </c>
      <c r="V143" s="478">
        <f t="shared" si="42"/>
        <v>100</v>
      </c>
      <c r="X143" s="389"/>
      <c r="Y143" s="389"/>
      <c r="Z143" s="389"/>
      <c r="AA143" s="389"/>
      <c r="AB143" s="389"/>
    </row>
    <row r="144" spans="16:28">
      <c r="P144" s="157">
        <f t="shared" si="43"/>
        <v>1790</v>
      </c>
      <c r="Q144" s="161">
        <f t="shared" si="37"/>
        <v>150</v>
      </c>
      <c r="R144" s="161">
        <f t="shared" si="38"/>
        <v>100</v>
      </c>
      <c r="S144" s="161">
        <f t="shared" si="39"/>
        <v>150</v>
      </c>
      <c r="T144" s="161">
        <f t="shared" si="40"/>
        <v>100</v>
      </c>
      <c r="U144" s="479">
        <f t="shared" si="41"/>
        <v>1790</v>
      </c>
      <c r="V144" s="478">
        <f t="shared" si="42"/>
        <v>100</v>
      </c>
      <c r="X144" s="389"/>
      <c r="Y144" s="389"/>
      <c r="Z144" s="389"/>
      <c r="AA144" s="389"/>
      <c r="AB144" s="389"/>
    </row>
    <row r="145" spans="16:28">
      <c r="P145" s="157">
        <f t="shared" si="43"/>
        <v>1800</v>
      </c>
      <c r="Q145" s="161">
        <f t="shared" si="37"/>
        <v>150</v>
      </c>
      <c r="R145" s="161">
        <f t="shared" si="38"/>
        <v>100</v>
      </c>
      <c r="S145" s="161">
        <f t="shared" si="39"/>
        <v>150</v>
      </c>
      <c r="T145" s="161">
        <f t="shared" si="40"/>
        <v>100</v>
      </c>
      <c r="U145" s="479">
        <f t="shared" si="41"/>
        <v>1800</v>
      </c>
      <c r="V145" s="478">
        <f t="shared" si="42"/>
        <v>100</v>
      </c>
      <c r="X145" s="389"/>
      <c r="Y145" s="389"/>
      <c r="Z145" s="389"/>
      <c r="AA145" s="389"/>
      <c r="AB145" s="389"/>
    </row>
    <row r="146" spans="16:28">
      <c r="X146" s="389"/>
      <c r="Y146" s="389"/>
      <c r="Z146" s="389"/>
      <c r="AA146" s="389"/>
      <c r="AB146" s="389"/>
    </row>
    <row r="147" spans="16:28">
      <c r="X147" s="389"/>
      <c r="Y147" s="389"/>
      <c r="Z147" s="389"/>
      <c r="AA147" s="389"/>
      <c r="AB147" s="389"/>
    </row>
    <row r="148" spans="16:28">
      <c r="X148" s="389"/>
      <c r="Y148" s="389"/>
      <c r="Z148" s="389"/>
      <c r="AA148" s="389"/>
      <c r="AB148" s="389"/>
    </row>
    <row r="149" spans="16:28">
      <c r="X149" s="389"/>
      <c r="Y149" s="389"/>
      <c r="Z149" s="389"/>
      <c r="AA149" s="389"/>
      <c r="AB149" s="389"/>
    </row>
    <row r="150" spans="16:28">
      <c r="X150" s="389"/>
      <c r="Y150" s="389"/>
      <c r="Z150" s="389"/>
      <c r="AA150" s="389"/>
      <c r="AB150" s="389"/>
    </row>
    <row r="151" spans="16:28">
      <c r="X151" s="389"/>
      <c r="Y151" s="389"/>
      <c r="Z151" s="389"/>
      <c r="AA151" s="389"/>
      <c r="AB151" s="389"/>
    </row>
    <row r="152" spans="16:28">
      <c r="X152" s="389"/>
      <c r="Y152" s="389"/>
      <c r="Z152" s="389"/>
      <c r="AA152" s="389"/>
      <c r="AB152" s="389"/>
    </row>
    <row r="153" spans="16:28">
      <c r="X153" s="389"/>
      <c r="Y153" s="389"/>
      <c r="Z153" s="389"/>
      <c r="AA153" s="389"/>
      <c r="AB153" s="389"/>
    </row>
    <row r="154" spans="16:28">
      <c r="X154" s="389"/>
      <c r="Y154" s="389"/>
      <c r="Z154" s="389"/>
      <c r="AA154" s="389"/>
      <c r="AB154" s="389"/>
    </row>
    <row r="155" spans="16:28">
      <c r="X155" s="389"/>
      <c r="Y155" s="389"/>
      <c r="Z155" s="389"/>
      <c r="AA155" s="389"/>
      <c r="AB155" s="389"/>
    </row>
  </sheetData>
  <mergeCells count="49">
    <mergeCell ref="A1:N1"/>
    <mergeCell ref="P1:T1"/>
    <mergeCell ref="X1:AB1"/>
    <mergeCell ref="A2:D2"/>
    <mergeCell ref="F2:I2"/>
    <mergeCell ref="K2:N2"/>
    <mergeCell ref="A3:D3"/>
    <mergeCell ref="F3:I3"/>
    <mergeCell ref="K3:N3"/>
    <mergeCell ref="B4:C4"/>
    <mergeCell ref="G4:H4"/>
    <mergeCell ref="L4:M4"/>
    <mergeCell ref="B5:C5"/>
    <mergeCell ref="G5:H5"/>
    <mergeCell ref="L5:M5"/>
    <mergeCell ref="B6:C6"/>
    <mergeCell ref="G6:H6"/>
    <mergeCell ref="L6:M6"/>
    <mergeCell ref="B7:C7"/>
    <mergeCell ref="G7:H7"/>
    <mergeCell ref="L7:M7"/>
    <mergeCell ref="B8:C8"/>
    <mergeCell ref="G8:H8"/>
    <mergeCell ref="L8:M8"/>
    <mergeCell ref="A10:D10"/>
    <mergeCell ref="F10:I10"/>
    <mergeCell ref="K10:N10"/>
    <mergeCell ref="A11:D11"/>
    <mergeCell ref="F11:I11"/>
    <mergeCell ref="K11:N11"/>
    <mergeCell ref="B12:C12"/>
    <mergeCell ref="G12:H12"/>
    <mergeCell ref="L12:M12"/>
    <mergeCell ref="B13:C13"/>
    <mergeCell ref="G13:H13"/>
    <mergeCell ref="L13:M13"/>
    <mergeCell ref="D28:G28"/>
    <mergeCell ref="H28:K28"/>
    <mergeCell ref="B14:C14"/>
    <mergeCell ref="G14:H14"/>
    <mergeCell ref="L14:M14"/>
    <mergeCell ref="B15:C15"/>
    <mergeCell ref="G15:H15"/>
    <mergeCell ref="L15:M15"/>
    <mergeCell ref="B16:C16"/>
    <mergeCell ref="G16:H16"/>
    <mergeCell ref="L16:M16"/>
    <mergeCell ref="B19:D19"/>
    <mergeCell ref="G19:I19"/>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sheetPr codeName="Sheet10">
    <tabColor rgb="FFFFFF00"/>
  </sheetPr>
  <dimension ref="A1:U160"/>
  <sheetViews>
    <sheetView topLeftCell="A13" workbookViewId="0">
      <selection activeCell="G38" sqref="G38"/>
    </sheetView>
  </sheetViews>
  <sheetFormatPr defaultRowHeight="15"/>
  <cols>
    <col min="1" max="1" width="3" bestFit="1" customWidth="1"/>
    <col min="2" max="2" width="3" customWidth="1"/>
    <col min="3" max="13" width="8.7109375" customWidth="1"/>
  </cols>
  <sheetData>
    <row r="1" spans="3:21">
      <c r="O1" s="1170" t="s">
        <v>144</v>
      </c>
      <c r="P1" s="1171"/>
      <c r="Q1" s="1172"/>
      <c r="S1" s="1170" t="s">
        <v>143</v>
      </c>
      <c r="T1" s="1171"/>
      <c r="U1" s="1172"/>
    </row>
    <row r="2" spans="3:21">
      <c r="C2" s="1184" t="s">
        <v>129</v>
      </c>
      <c r="D2" s="1184"/>
      <c r="E2" s="1184"/>
      <c r="F2" s="1184"/>
      <c r="G2" s="1184"/>
      <c r="I2" s="1184" t="s">
        <v>130</v>
      </c>
      <c r="J2" s="1184"/>
      <c r="K2" s="1184"/>
      <c r="L2" s="1184"/>
      <c r="O2" s="173" t="s">
        <v>69</v>
      </c>
      <c r="P2" s="1191" t="s">
        <v>140</v>
      </c>
      <c r="Q2" s="1192"/>
      <c r="S2" s="173" t="s">
        <v>69</v>
      </c>
      <c r="T2" s="1191" t="s">
        <v>140</v>
      </c>
      <c r="U2" s="1192"/>
    </row>
    <row r="3" spans="3:21">
      <c r="C3" s="1183">
        <v>1</v>
      </c>
      <c r="D3" s="1183"/>
      <c r="E3" s="1183"/>
      <c r="F3" s="1183"/>
      <c r="G3" s="1183"/>
      <c r="I3" s="1183">
        <v>1</v>
      </c>
      <c r="J3" s="1183"/>
      <c r="K3" s="1182"/>
      <c r="L3" s="1182"/>
      <c r="O3" s="173" t="s">
        <v>139</v>
      </c>
      <c r="P3" s="173" t="s">
        <v>141</v>
      </c>
      <c r="Q3" s="173" t="s">
        <v>142</v>
      </c>
      <c r="S3" s="173" t="s">
        <v>139</v>
      </c>
      <c r="T3" s="173" t="s">
        <v>141</v>
      </c>
      <c r="U3" s="173" t="s">
        <v>142</v>
      </c>
    </row>
    <row r="4" spans="3:21">
      <c r="C4" s="1195" t="s">
        <v>131</v>
      </c>
      <c r="D4" s="1179">
        <v>6.6724447000000001E-13</v>
      </c>
      <c r="E4" s="1179"/>
      <c r="F4" s="1194" t="s">
        <v>132</v>
      </c>
      <c r="G4" s="1194"/>
      <c r="I4" s="1195" t="s">
        <v>135</v>
      </c>
      <c r="J4" s="1179">
        <v>7.8570508000000002E-13</v>
      </c>
      <c r="K4" s="1179"/>
      <c r="L4" s="152"/>
      <c r="O4" s="173" t="s">
        <v>26</v>
      </c>
      <c r="P4" s="173" t="s">
        <v>4</v>
      </c>
      <c r="Q4" s="173" t="s">
        <v>4</v>
      </c>
      <c r="S4" s="173" t="s">
        <v>26</v>
      </c>
      <c r="T4" s="173" t="s">
        <v>4</v>
      </c>
      <c r="U4" s="173" t="s">
        <v>4</v>
      </c>
    </row>
    <row r="5" spans="3:21">
      <c r="C5" s="1195"/>
      <c r="D5" s="1179">
        <v>2.6134152E-9</v>
      </c>
      <c r="E5" s="1179"/>
      <c r="F5" s="1193" t="s">
        <v>133</v>
      </c>
      <c r="G5" s="1193"/>
      <c r="I5" s="1195"/>
      <c r="J5" s="1179">
        <v>3.4196893E-9</v>
      </c>
      <c r="K5" s="1179"/>
      <c r="L5" s="152"/>
      <c r="O5" s="178">
        <v>250</v>
      </c>
      <c r="P5" s="174"/>
      <c r="Q5" s="174">
        <f>ROUND(IF(O5&gt;1046,93,IF(O5&gt;900,((-0.1787671*O5)+279.990411),IF(O5&gt;665,((-0.3442553*O5)+428.9297872),($J$13*O5^5)-($J$14*O5^4)+($J$15*O5^3)-($J$16*O5^2)+($J$17*O5)+$J$18))),2)</f>
        <v>446.54</v>
      </c>
      <c r="S5" s="178"/>
      <c r="T5" s="174"/>
      <c r="U5" s="174"/>
    </row>
    <row r="6" spans="3:21">
      <c r="C6" s="1195"/>
      <c r="D6" s="1179">
        <v>3.8161841000000003E-6</v>
      </c>
      <c r="E6" s="1179"/>
      <c r="F6" s="152"/>
      <c r="G6" s="152"/>
      <c r="I6" s="1195"/>
      <c r="J6" s="1179">
        <v>5.5784119000000002E-6</v>
      </c>
      <c r="K6" s="1179"/>
      <c r="L6" s="152"/>
      <c r="O6" s="178">
        <f>O5+10</f>
        <v>260</v>
      </c>
      <c r="P6" s="174"/>
      <c r="Q6" s="174">
        <f t="shared" ref="Q6:Q69" si="0">ROUND(IF(O6&gt;1046,93,IF(O6&gt;900,((-0.1787671*O6)+279.990411),IF(O6&gt;665,((-0.3442553*O6)+428.9297872),($J$13*O6^5)-($J$14*O6^4)+($J$15*O6^3)-($J$16*O6^2)+($J$17*O6)+$J$18))),2)</f>
        <v>440.62</v>
      </c>
      <c r="S6" s="178"/>
      <c r="T6" s="174"/>
      <c r="U6" s="174"/>
    </row>
    <row r="7" spans="3:21">
      <c r="C7" s="1195"/>
      <c r="D7" s="1180">
        <v>2.2204E-3</v>
      </c>
      <c r="E7" s="1180"/>
      <c r="F7" s="154"/>
      <c r="G7" s="154"/>
      <c r="I7" s="1195"/>
      <c r="J7" s="1180">
        <v>3.9084300000000001E-3</v>
      </c>
      <c r="K7" s="1180"/>
      <c r="L7" s="154"/>
      <c r="O7" s="178">
        <f t="shared" ref="O7:O70" si="1">O6+10</f>
        <v>270</v>
      </c>
      <c r="P7" s="174">
        <f>ROUND(IF(O7&gt;770,75,($D$13*O7^5)-($D$14*O7^4)+($D$15*O7^3)-($D$16*O7^2)-($D$17*O7)+$D$18),2)</f>
        <v>286.57</v>
      </c>
      <c r="Q7" s="174">
        <f t="shared" si="0"/>
        <v>434.56</v>
      </c>
      <c r="S7" s="178"/>
      <c r="T7" s="174"/>
      <c r="U7" s="174"/>
    </row>
    <row r="8" spans="3:21">
      <c r="C8" s="1195"/>
      <c r="D8" s="1180">
        <v>0.18654709999999999</v>
      </c>
      <c r="E8" s="1180"/>
      <c r="F8" s="154"/>
      <c r="G8" s="154"/>
      <c r="I8" s="1195"/>
      <c r="J8" s="1180">
        <v>0.41037319999999999</v>
      </c>
      <c r="K8" s="1180"/>
      <c r="L8" s="154"/>
      <c r="O8" s="178">
        <f t="shared" si="1"/>
        <v>280</v>
      </c>
      <c r="P8" s="174">
        <f t="shared" ref="P8:P71" si="2">ROUND(IF(O8&gt;770,75,($D$13*O8^5)-($D$14*O8^4)+($D$15*O8^3)-($D$16*O8^2)-($D$17*O8)+$D$18),2)</f>
        <v>280.77999999999997</v>
      </c>
      <c r="Q8" s="174">
        <f t="shared" si="0"/>
        <v>428.38</v>
      </c>
      <c r="S8" s="178"/>
      <c r="T8" s="174"/>
      <c r="U8" s="174"/>
    </row>
    <row r="9" spans="3:21">
      <c r="C9" s="1195"/>
      <c r="D9" s="1180">
        <v>661.94721440000001</v>
      </c>
      <c r="E9" s="1180"/>
      <c r="F9" s="154"/>
      <c r="G9" s="154"/>
      <c r="I9" s="1195"/>
      <c r="J9" s="1180">
        <v>830.32799829999999</v>
      </c>
      <c r="K9" s="1180"/>
      <c r="L9" s="154"/>
      <c r="O9" s="178">
        <f t="shared" si="1"/>
        <v>290</v>
      </c>
      <c r="P9" s="174">
        <f t="shared" si="2"/>
        <v>275.02</v>
      </c>
      <c r="Q9" s="174">
        <f t="shared" si="0"/>
        <v>422.11</v>
      </c>
      <c r="S9" s="178"/>
      <c r="T9" s="174"/>
      <c r="U9" s="174"/>
    </row>
    <row r="10" spans="3:21">
      <c r="C10" s="151"/>
      <c r="D10" s="151"/>
      <c r="E10" s="151"/>
      <c r="F10" s="151"/>
      <c r="G10" s="151"/>
      <c r="I10" s="151"/>
      <c r="J10" s="151"/>
      <c r="K10" s="151"/>
      <c r="L10" s="151"/>
      <c r="O10" s="178">
        <f t="shared" si="1"/>
        <v>300</v>
      </c>
      <c r="P10" s="174">
        <f t="shared" si="2"/>
        <v>269.3</v>
      </c>
      <c r="Q10" s="174">
        <f t="shared" si="0"/>
        <v>415.76</v>
      </c>
      <c r="S10" s="178"/>
      <c r="T10" s="174"/>
      <c r="U10" s="174"/>
    </row>
    <row r="11" spans="3:21">
      <c r="C11" s="1181" t="s">
        <v>129</v>
      </c>
      <c r="D11" s="1181"/>
      <c r="E11" s="1181"/>
      <c r="F11" s="1181"/>
      <c r="G11" s="1181"/>
      <c r="I11" s="1181" t="s">
        <v>130</v>
      </c>
      <c r="J11" s="1181"/>
      <c r="K11" s="1181"/>
      <c r="L11" s="1181"/>
      <c r="O11" s="178">
        <f t="shared" si="1"/>
        <v>310</v>
      </c>
      <c r="P11" s="174">
        <f t="shared" si="2"/>
        <v>263.61</v>
      </c>
      <c r="Q11" s="174">
        <f t="shared" si="0"/>
        <v>409.35</v>
      </c>
      <c r="S11" s="178"/>
      <c r="T11" s="174"/>
      <c r="U11" s="174"/>
    </row>
    <row r="12" spans="3:21">
      <c r="C12" s="1182" t="s">
        <v>67</v>
      </c>
      <c r="D12" s="1182"/>
      <c r="E12" s="1182"/>
      <c r="F12" s="1182"/>
      <c r="G12" s="1182"/>
      <c r="I12" s="1182" t="s">
        <v>67</v>
      </c>
      <c r="J12" s="1182"/>
      <c r="K12" s="1182"/>
      <c r="L12" s="1182"/>
      <c r="O12" s="178">
        <f t="shared" si="1"/>
        <v>320</v>
      </c>
      <c r="P12" s="174">
        <f t="shared" si="2"/>
        <v>257.95</v>
      </c>
      <c r="Q12" s="174">
        <f t="shared" si="0"/>
        <v>402.88</v>
      </c>
      <c r="S12" s="178"/>
      <c r="T12" s="174"/>
      <c r="U12" s="174"/>
    </row>
    <row r="13" spans="3:21">
      <c r="C13" s="1195" t="s">
        <v>134</v>
      </c>
      <c r="D13" s="1179">
        <v>1.2586155E-12</v>
      </c>
      <c r="E13" s="1179"/>
      <c r="F13" s="152"/>
      <c r="G13" s="152"/>
      <c r="I13" s="1195" t="s">
        <v>138</v>
      </c>
      <c r="J13" s="1179">
        <v>5.1824965000000002E-12</v>
      </c>
      <c r="K13" s="1179"/>
      <c r="L13" s="1194" t="s">
        <v>136</v>
      </c>
      <c r="M13" s="1194"/>
      <c r="O13" s="178">
        <f t="shared" si="1"/>
        <v>330</v>
      </c>
      <c r="P13" s="174">
        <f t="shared" si="2"/>
        <v>252.34</v>
      </c>
      <c r="Q13" s="174">
        <f t="shared" si="0"/>
        <v>396.39</v>
      </c>
      <c r="S13" s="178"/>
      <c r="T13" s="174"/>
      <c r="U13" s="174"/>
    </row>
    <row r="14" spans="3:21">
      <c r="C14" s="1195"/>
      <c r="D14" s="1179">
        <v>2.5305583999999999E-9</v>
      </c>
      <c r="E14" s="1179"/>
      <c r="F14" s="152"/>
      <c r="G14" s="152"/>
      <c r="I14" s="1195"/>
      <c r="J14" s="1179">
        <v>1.3589769E-8</v>
      </c>
      <c r="K14" s="1179"/>
      <c r="L14" s="1193" t="s">
        <v>133</v>
      </c>
      <c r="M14" s="1193"/>
      <c r="O14" s="178">
        <f t="shared" si="1"/>
        <v>340</v>
      </c>
      <c r="P14" s="174">
        <f t="shared" si="2"/>
        <v>246.76</v>
      </c>
      <c r="Q14" s="174">
        <f t="shared" si="0"/>
        <v>389.87</v>
      </c>
      <c r="S14" s="178"/>
      <c r="T14" s="174"/>
      <c r="U14" s="174"/>
    </row>
    <row r="15" spans="3:21">
      <c r="C15" s="1195"/>
      <c r="D15" s="1179">
        <v>2.2787145999999999E-6</v>
      </c>
      <c r="E15" s="1179"/>
      <c r="F15" s="152"/>
      <c r="G15" s="152"/>
      <c r="I15" s="1195"/>
      <c r="J15" s="1179">
        <v>1.4288627E-5</v>
      </c>
      <c r="K15" s="1179"/>
      <c r="L15" s="152"/>
      <c r="O15" s="178">
        <f t="shared" si="1"/>
        <v>350</v>
      </c>
      <c r="P15" s="174">
        <f t="shared" si="2"/>
        <v>241.23</v>
      </c>
      <c r="Q15" s="174">
        <f t="shared" si="0"/>
        <v>383.35</v>
      </c>
      <c r="S15" s="178"/>
      <c r="T15" s="174"/>
      <c r="U15" s="174"/>
    </row>
    <row r="16" spans="3:21">
      <c r="C16" s="1195"/>
      <c r="D16" s="1180">
        <v>8.5310846999999996E-4</v>
      </c>
      <c r="E16" s="1180"/>
      <c r="F16" s="154"/>
      <c r="G16" s="154"/>
      <c r="I16" s="1195"/>
      <c r="J16" s="1180">
        <v>7.2337E-3</v>
      </c>
      <c r="K16" s="1180"/>
      <c r="L16" s="1194" t="s">
        <v>137</v>
      </c>
      <c r="M16" s="1194"/>
      <c r="O16" s="178">
        <f t="shared" si="1"/>
        <v>360</v>
      </c>
      <c r="P16" s="174">
        <f t="shared" si="2"/>
        <v>235.74</v>
      </c>
      <c r="Q16" s="174">
        <f t="shared" si="0"/>
        <v>376.82</v>
      </c>
      <c r="S16" s="178"/>
      <c r="T16" s="174"/>
      <c r="U16" s="174"/>
    </row>
    <row r="17" spans="1:21">
      <c r="C17" s="1195"/>
      <c r="D17" s="1180">
        <v>0.45193450000000002</v>
      </c>
      <c r="E17" s="1180"/>
      <c r="F17" s="154"/>
      <c r="G17" s="154"/>
      <c r="I17" s="1195"/>
      <c r="J17" s="1180">
        <v>1.1015478999999999</v>
      </c>
      <c r="K17" s="1180"/>
      <c r="L17" s="1193" t="s">
        <v>133</v>
      </c>
      <c r="M17" s="1193"/>
      <c r="O17" s="178">
        <f t="shared" si="1"/>
        <v>370</v>
      </c>
      <c r="P17" s="174">
        <f t="shared" si="2"/>
        <v>230.29</v>
      </c>
      <c r="Q17" s="174">
        <f t="shared" si="0"/>
        <v>370.3</v>
      </c>
      <c r="S17" s="178"/>
      <c r="T17" s="174"/>
      <c r="U17" s="174"/>
    </row>
    <row r="18" spans="1:21">
      <c r="C18" s="1195"/>
      <c r="D18" s="1180">
        <v>437.57309220000002</v>
      </c>
      <c r="E18" s="1180"/>
      <c r="I18" s="1195"/>
      <c r="J18" s="1180">
        <v>448.01979820000003</v>
      </c>
      <c r="K18" s="1180"/>
      <c r="O18" s="178">
        <f t="shared" si="1"/>
        <v>380</v>
      </c>
      <c r="P18" s="174">
        <f t="shared" si="2"/>
        <v>224.89</v>
      </c>
      <c r="Q18" s="174">
        <f t="shared" si="0"/>
        <v>363.81</v>
      </c>
      <c r="S18" s="178"/>
      <c r="T18" s="174"/>
      <c r="U18" s="174"/>
    </row>
    <row r="19" spans="1:21">
      <c r="O19" s="178">
        <f t="shared" si="1"/>
        <v>390</v>
      </c>
      <c r="P19" s="174">
        <f t="shared" si="2"/>
        <v>219.54</v>
      </c>
      <c r="Q19" s="174">
        <f t="shared" si="0"/>
        <v>357.33</v>
      </c>
      <c r="S19" s="178"/>
      <c r="T19" s="174"/>
      <c r="U19" s="174"/>
    </row>
    <row r="20" spans="1:21">
      <c r="A20" s="45"/>
      <c r="B20" s="45"/>
      <c r="C20" s="1185" t="str">
        <f>IF('Warrant 1'!AN18=1,"70% Volume Level","100% Volume Level")</f>
        <v>100% Volume Level</v>
      </c>
      <c r="D20" s="1185"/>
      <c r="E20" s="1185"/>
      <c r="F20" s="331"/>
      <c r="G20" s="331"/>
      <c r="I20" s="1176" t="str">
        <f>IF('Warrant 1'!AN18=1,"70% Volume Level","100% Volume Level")</f>
        <v>100% Volume Level</v>
      </c>
      <c r="J20" s="1176"/>
      <c r="K20" s="1176"/>
      <c r="L20" s="308"/>
      <c r="M20" s="308"/>
      <c r="O20" s="178">
        <f t="shared" si="1"/>
        <v>400</v>
      </c>
      <c r="P20" s="174">
        <f t="shared" si="2"/>
        <v>214.25</v>
      </c>
      <c r="Q20" s="174">
        <f t="shared" si="0"/>
        <v>350.89</v>
      </c>
      <c r="S20" s="178">
        <v>400</v>
      </c>
      <c r="T20" s="174">
        <f>ROUND(IF(S20&gt;1100,107,IF(S20&gt;990,((-0.18*S20)+305),($D$4*S20^5)-($D$5*S20^4)+($D$6*S20^3)-($D$7*S20^2)-($D$8*S20)+$D$9)),2)</f>
        <v>416.23</v>
      </c>
      <c r="U20" s="174">
        <f>ROUND(IF(S20&gt;1460,133,($J$4*S20^5)-($J$5*S20^4)+($J$6*S20^3)-($J$7*S20^2)+($J$8*S20)+$J$9),2)</f>
        <v>646.65</v>
      </c>
    </row>
    <row r="21" spans="1:21">
      <c r="A21" s="45"/>
      <c r="B21" s="45"/>
      <c r="C21" s="320">
        <f>'Warrant 4'!$T19</f>
        <v>0</v>
      </c>
      <c r="D21" s="406">
        <f>IF('Warrant 4'!$T20&gt;1400,1400,'Warrant 4'!$T20)</f>
        <v>0</v>
      </c>
      <c r="E21" s="406">
        <f>IF('Warrant 4'!$T22&gt;500,500,'Warrant 4'!$T22)</f>
        <v>0</v>
      </c>
      <c r="F21" s="331"/>
      <c r="G21" s="331"/>
      <c r="I21" s="320">
        <f>'Warrant 4'!$AB19</f>
        <v>0</v>
      </c>
      <c r="J21" s="406">
        <f>IF('Warrant 4'!$AB20&gt;1800,1800,'Warrant 4'!$AB20)</f>
        <v>0</v>
      </c>
      <c r="K21" s="406">
        <f>IF('Warrant 4'!$AB22&gt;700,700,'Warrant 4'!$AB22)</f>
        <v>0</v>
      </c>
      <c r="L21" s="402"/>
      <c r="M21" s="379"/>
      <c r="O21" s="178">
        <f t="shared" si="1"/>
        <v>410</v>
      </c>
      <c r="P21" s="174">
        <f t="shared" si="2"/>
        <v>209</v>
      </c>
      <c r="Q21" s="174">
        <f t="shared" si="0"/>
        <v>344.48</v>
      </c>
      <c r="S21" s="178">
        <f>S20+10</f>
        <v>410</v>
      </c>
      <c r="T21" s="174">
        <f t="shared" ref="T21:T84" si="3">ROUND(IF(S21&gt;1100,107,IF(S21&gt;990,((-0.18*S21)+305),($D$4*S21^5)-($D$5*S21^4)+($D$6*S21^3)-($D$7*S21^2)-($D$8*S21)+$D$9)),2)</f>
        <v>409.11</v>
      </c>
      <c r="U21" s="174">
        <f t="shared" ref="U21:U84" si="4">ROUND(IF(S21&gt;1460,133,($J$4*S21^5)-($J$5*S21^4)+($J$6*S21^3)-($J$7*S21^2)+($J$8*S21)+$J$9),2)</f>
        <v>638.51</v>
      </c>
    </row>
    <row r="22" spans="1:21">
      <c r="A22" s="45"/>
      <c r="B22" s="45"/>
      <c r="C22" s="320">
        <f>'Warrant 4'!$V19</f>
        <v>0</v>
      </c>
      <c r="D22" s="406">
        <f>IF('Warrant 4'!$V20&gt;1400,1400,'Warrant 4'!$V20)</f>
        <v>0</v>
      </c>
      <c r="E22" s="406">
        <f>IF('Warrant 4'!$V22&gt;500,500,'Warrant 4'!$V22)</f>
        <v>0</v>
      </c>
      <c r="F22" s="338"/>
      <c r="G22" s="338"/>
      <c r="I22" s="407" t="str">
        <f>IF('Warrant 2'!$AQ$13=1,'Warrant 4'!$V19,"")</f>
        <v/>
      </c>
      <c r="J22" s="408" t="str">
        <f>IF('Warrant 2'!$AQ$13=1,'Warrant 4'!$V20,"")</f>
        <v/>
      </c>
      <c r="K22" s="408" t="str">
        <f>IF('Warrant 2'!$AQ$13=1,'Warrant 4'!$V22,"")</f>
        <v/>
      </c>
      <c r="L22" s="402"/>
      <c r="M22" s="379"/>
      <c r="O22" s="178">
        <f t="shared" si="1"/>
        <v>420</v>
      </c>
      <c r="P22" s="174">
        <f t="shared" si="2"/>
        <v>203.8</v>
      </c>
      <c r="Q22" s="174">
        <f t="shared" si="0"/>
        <v>338.12</v>
      </c>
      <c r="S22" s="178">
        <f t="shared" ref="S22:S85" si="5">S21+10</f>
        <v>420</v>
      </c>
      <c r="T22" s="174">
        <f t="shared" si="3"/>
        <v>402.05</v>
      </c>
      <c r="U22" s="174">
        <f t="shared" si="4"/>
        <v>630.39</v>
      </c>
    </row>
    <row r="23" spans="1:21">
      <c r="A23" s="277"/>
      <c r="B23" s="277"/>
      <c r="C23" s="320">
        <f>'Warrant 4'!$X19</f>
        <v>0</v>
      </c>
      <c r="D23" s="406">
        <f>IF('Warrant 4'!$X20&gt;1400,1400,'Warrant 4'!$X20)</f>
        <v>0</v>
      </c>
      <c r="E23" s="406">
        <f>IF('Warrant 4'!$X22&gt;500,500,'Warrant 4'!$X22)</f>
        <v>0</v>
      </c>
      <c r="F23" s="338"/>
      <c r="G23" s="338"/>
      <c r="I23" s="409" t="str">
        <f>IF('Warrant 2'!$AQ$13=1,'Warrant 4'!$X19,"")</f>
        <v/>
      </c>
      <c r="J23" s="410" t="str">
        <f>IF('Warrant 2'!$AQ$13=1,'Warrant 4'!$X20,"")</f>
        <v/>
      </c>
      <c r="K23" s="410" t="str">
        <f>IF('Warrant 2'!$AQ$13=1,'Warrant 4'!$X22,"")</f>
        <v/>
      </c>
      <c r="L23" s="96"/>
      <c r="M23" s="382"/>
      <c r="O23" s="178">
        <f t="shared" si="1"/>
        <v>430</v>
      </c>
      <c r="P23" s="174">
        <f t="shared" si="2"/>
        <v>198.66</v>
      </c>
      <c r="Q23" s="174">
        <f t="shared" si="0"/>
        <v>331.8</v>
      </c>
      <c r="S23" s="178">
        <f t="shared" si="5"/>
        <v>430</v>
      </c>
      <c r="T23" s="174">
        <f t="shared" si="3"/>
        <v>395.05</v>
      </c>
      <c r="U23" s="174">
        <f t="shared" si="4"/>
        <v>622.28</v>
      </c>
    </row>
    <row r="24" spans="1:21">
      <c r="A24" s="277"/>
      <c r="B24" s="277"/>
      <c r="C24" s="320">
        <f>'Warrant 4'!$Z19</f>
        <v>0</v>
      </c>
      <c r="D24" s="406">
        <f>IF('Warrant 4'!$Z20&gt;1400,1400,'Warrant 4'!$Z20)</f>
        <v>0</v>
      </c>
      <c r="E24" s="406">
        <f>IF('Warrant 4'!$Z22&gt;500,500,'Warrant 4'!$Z22)</f>
        <v>0</v>
      </c>
      <c r="F24" s="338"/>
      <c r="G24" s="338"/>
      <c r="I24" s="409" t="str">
        <f>IF('Warrant 2'!$AQ$13=1,'Warrant 4'!$Z19,"")</f>
        <v/>
      </c>
      <c r="J24" s="410" t="str">
        <f>IF('Warrant 2'!$AQ$13=1,'Warrant 4'!$Z20,"")</f>
        <v/>
      </c>
      <c r="K24" s="410" t="str">
        <f>IF('Warrant 2'!$AQ$13=1,'Warrant 4'!$Z22,"")</f>
        <v/>
      </c>
      <c r="L24" s="96"/>
      <c r="M24" s="382"/>
      <c r="O24" s="178">
        <f t="shared" si="1"/>
        <v>440</v>
      </c>
      <c r="P24" s="174">
        <f t="shared" si="2"/>
        <v>193.58</v>
      </c>
      <c r="Q24" s="174">
        <f t="shared" si="0"/>
        <v>325.52999999999997</v>
      </c>
      <c r="S24" s="178">
        <f t="shared" si="5"/>
        <v>440</v>
      </c>
      <c r="T24" s="174">
        <f t="shared" si="3"/>
        <v>388.13</v>
      </c>
      <c r="U24" s="174">
        <f t="shared" si="4"/>
        <v>614.20000000000005</v>
      </c>
    </row>
    <row r="25" spans="1:21">
      <c r="A25" s="277"/>
      <c r="B25" s="277"/>
      <c r="C25" s="295"/>
      <c r="D25" s="45"/>
      <c r="E25" s="45"/>
      <c r="F25" s="96"/>
      <c r="G25" s="96"/>
      <c r="H25" s="96"/>
      <c r="I25" s="96"/>
      <c r="J25" s="382"/>
      <c r="K25" s="383"/>
      <c r="L25" s="96"/>
      <c r="M25" s="382"/>
      <c r="N25" s="383"/>
      <c r="O25" s="178">
        <f t="shared" si="1"/>
        <v>450</v>
      </c>
      <c r="P25" s="174">
        <f t="shared" si="2"/>
        <v>188.55</v>
      </c>
      <c r="Q25" s="174">
        <f t="shared" si="0"/>
        <v>319.31</v>
      </c>
      <c r="S25" s="178">
        <f t="shared" si="5"/>
        <v>450</v>
      </c>
      <c r="T25" s="174">
        <f t="shared" si="3"/>
        <v>381.27</v>
      </c>
      <c r="U25" s="174">
        <f t="shared" si="4"/>
        <v>606.14</v>
      </c>
    </row>
    <row r="26" spans="1:21">
      <c r="A26" s="277"/>
      <c r="B26" s="277"/>
      <c r="C26" s="362">
        <v>200</v>
      </c>
      <c r="D26" s="321">
        <v>107</v>
      </c>
      <c r="E26" s="321">
        <v>75</v>
      </c>
      <c r="F26" s="338"/>
      <c r="G26" s="338"/>
      <c r="I26" s="362">
        <v>200</v>
      </c>
      <c r="J26" s="321">
        <v>133</v>
      </c>
      <c r="K26" s="321">
        <v>93</v>
      </c>
      <c r="O26" s="178">
        <f t="shared" si="1"/>
        <v>460</v>
      </c>
      <c r="P26" s="174">
        <f t="shared" si="2"/>
        <v>183.58</v>
      </c>
      <c r="Q26" s="174">
        <f t="shared" si="0"/>
        <v>313.14</v>
      </c>
      <c r="S26" s="178">
        <f t="shared" si="5"/>
        <v>460</v>
      </c>
      <c r="T26" s="174">
        <f t="shared" si="3"/>
        <v>374.48</v>
      </c>
      <c r="U26" s="174">
        <f t="shared" si="4"/>
        <v>598.12</v>
      </c>
    </row>
    <row r="27" spans="1:21">
      <c r="A27" s="277"/>
      <c r="B27" s="277"/>
      <c r="C27" s="362">
        <v>1400</v>
      </c>
      <c r="D27" s="321">
        <v>107</v>
      </c>
      <c r="E27" s="321">
        <v>75</v>
      </c>
      <c r="F27" s="338"/>
      <c r="G27" s="338"/>
      <c r="I27" s="362">
        <v>1800</v>
      </c>
      <c r="J27" s="321">
        <v>133</v>
      </c>
      <c r="K27" s="321">
        <v>93</v>
      </c>
      <c r="O27" s="178">
        <f t="shared" si="1"/>
        <v>470</v>
      </c>
      <c r="P27" s="174">
        <f t="shared" si="2"/>
        <v>178.68</v>
      </c>
      <c r="Q27" s="174">
        <f t="shared" si="0"/>
        <v>307.02999999999997</v>
      </c>
      <c r="S27" s="178">
        <f t="shared" si="5"/>
        <v>470</v>
      </c>
      <c r="T27" s="174">
        <f t="shared" si="3"/>
        <v>367.77</v>
      </c>
      <c r="U27" s="174">
        <f t="shared" si="4"/>
        <v>590.15</v>
      </c>
    </row>
    <row r="28" spans="1:21">
      <c r="A28" s="277"/>
      <c r="B28" s="277"/>
      <c r="C28" s="295"/>
      <c r="D28" s="45"/>
      <c r="E28" s="45"/>
      <c r="F28" s="96"/>
      <c r="G28" s="96"/>
      <c r="H28" s="96"/>
      <c r="I28" s="96"/>
      <c r="J28" s="382"/>
      <c r="K28" s="383"/>
      <c r="L28" s="96"/>
      <c r="M28" s="382"/>
      <c r="N28" s="383"/>
      <c r="O28" s="178">
        <f t="shared" si="1"/>
        <v>480</v>
      </c>
      <c r="P28" s="174">
        <f t="shared" si="2"/>
        <v>173.83</v>
      </c>
      <c r="Q28" s="174">
        <f t="shared" si="0"/>
        <v>300.98</v>
      </c>
      <c r="S28" s="178">
        <f t="shared" si="5"/>
        <v>480</v>
      </c>
      <c r="T28" s="174">
        <f t="shared" si="3"/>
        <v>361.13</v>
      </c>
      <c r="U28" s="174">
        <f t="shared" si="4"/>
        <v>582.22</v>
      </c>
    </row>
    <row r="29" spans="1:21">
      <c r="A29" s="277"/>
      <c r="B29" s="277"/>
      <c r="C29" s="337"/>
      <c r="D29" s="337"/>
      <c r="E29" s="117"/>
      <c r="F29" s="117"/>
      <c r="G29" s="117"/>
      <c r="H29" s="117"/>
      <c r="I29" s="411"/>
      <c r="J29" s="411"/>
      <c r="K29" s="411"/>
      <c r="L29" s="411"/>
      <c r="M29" s="339"/>
      <c r="N29" s="383"/>
      <c r="O29" s="178">
        <f t="shared" si="1"/>
        <v>490</v>
      </c>
      <c r="P29" s="174">
        <f t="shared" si="2"/>
        <v>169.05</v>
      </c>
      <c r="Q29" s="174">
        <f t="shared" si="0"/>
        <v>294.98</v>
      </c>
      <c r="S29" s="178">
        <f t="shared" si="5"/>
        <v>490</v>
      </c>
      <c r="T29" s="174">
        <f t="shared" si="3"/>
        <v>354.58</v>
      </c>
      <c r="U29" s="174">
        <f t="shared" si="4"/>
        <v>574.35</v>
      </c>
    </row>
    <row r="30" spans="1:21">
      <c r="A30" s="277"/>
      <c r="B30" s="277"/>
      <c r="E30" s="412" t="s">
        <v>32</v>
      </c>
      <c r="F30" s="412" t="s">
        <v>31</v>
      </c>
      <c r="G30" s="370"/>
      <c r="H30" s="370"/>
      <c r="I30" s="250"/>
      <c r="J30" s="250"/>
      <c r="K30" s="412" t="s">
        <v>32</v>
      </c>
      <c r="L30" s="412" t="s">
        <v>31</v>
      </c>
      <c r="M30" s="370"/>
      <c r="N30" s="383"/>
      <c r="O30" s="178">
        <f t="shared" si="1"/>
        <v>500</v>
      </c>
      <c r="P30" s="174">
        <f t="shared" si="2"/>
        <v>164.34</v>
      </c>
      <c r="Q30" s="174">
        <f t="shared" si="0"/>
        <v>289.04000000000002</v>
      </c>
      <c r="S30" s="178">
        <f t="shared" si="5"/>
        <v>500</v>
      </c>
      <c r="T30" s="174">
        <f t="shared" si="3"/>
        <v>348.11</v>
      </c>
      <c r="U30" s="174">
        <f t="shared" si="4"/>
        <v>566.53</v>
      </c>
    </row>
    <row r="31" spans="1:21">
      <c r="A31" s="277"/>
      <c r="B31" s="277"/>
      <c r="C31" s="337"/>
      <c r="D31" s="337"/>
      <c r="E31" s="370">
        <v>1</v>
      </c>
      <c r="F31" s="370">
        <v>2</v>
      </c>
      <c r="G31" s="375" t="s">
        <v>34</v>
      </c>
      <c r="H31" s="424"/>
      <c r="I31" s="374"/>
      <c r="J31" s="374"/>
      <c r="K31" s="370">
        <v>1</v>
      </c>
      <c r="L31" s="370">
        <v>2</v>
      </c>
      <c r="M31" s="375" t="s">
        <v>34</v>
      </c>
      <c r="N31" s="424"/>
      <c r="O31" s="178">
        <f t="shared" si="1"/>
        <v>510</v>
      </c>
      <c r="P31" s="174">
        <f t="shared" si="2"/>
        <v>159.69</v>
      </c>
      <c r="Q31" s="174">
        <f t="shared" si="0"/>
        <v>283.16000000000003</v>
      </c>
      <c r="S31" s="178">
        <f t="shared" si="5"/>
        <v>510</v>
      </c>
      <c r="T31" s="174">
        <f t="shared" si="3"/>
        <v>341.72</v>
      </c>
      <c r="U31" s="174">
        <f t="shared" si="4"/>
        <v>558.78</v>
      </c>
    </row>
    <row r="32" spans="1:21">
      <c r="A32" s="277"/>
      <c r="B32" s="277"/>
      <c r="C32" s="337">
        <f>'Warrant 4'!$T$20</f>
        <v>0</v>
      </c>
      <c r="D32" s="337">
        <f>'Warrant 4'!$T$22</f>
        <v>0</v>
      </c>
      <c r="E32" s="338">
        <f>IF(C32&gt;1100,107,IF(C32&gt;990,((-0.18*C32)+305),($D$4*C32^5)-($D$5*C32^4)+($D$6*C32^3)-($D$7*C32^2)-($D$8*C32)+$D$9))</f>
        <v>661.94721440000001</v>
      </c>
      <c r="F32" s="338">
        <f>IF(C32&gt;770,75,($D$13*C32^5)-($D$14*C32^4)+($D$15*C32^3)-($D$16*C32^2)-($D$17*C32)+$D$18)</f>
        <v>437.57309220000002</v>
      </c>
      <c r="G32" s="378">
        <f ca="1">IF(D32&gt;=OFFSET($D$31,1,$K$35),1,0)</f>
        <v>0</v>
      </c>
      <c r="H32" s="425"/>
      <c r="I32" s="337">
        <f>'Warrant 4'!$AB$20</f>
        <v>0</v>
      </c>
      <c r="J32" s="337">
        <f>'Warrant 4'!$AB$22</f>
        <v>0</v>
      </c>
      <c r="K32" s="96">
        <f>IF(I32&gt;1460,133,($J$4*I32^5)-($J$5*I32^4)+($J$6*I32^3)-($J$7*I32^2)+($J$8*I32)+$J$9)</f>
        <v>830.32799829999999</v>
      </c>
      <c r="L32" s="96">
        <f>IF(I32&gt;1046,93,IF(I32&gt;900,((-0.1787671*I32)+279.990411),IF(I32&gt;665,((-0.3442553*I32)+428.9297872),($J$13*I32^5)-($J$14*I32^4)+($J$15*I32^3)-($J$16*I32^2)+($J$17*I32)+$J$18)))</f>
        <v>448.01979820000003</v>
      </c>
      <c r="M32" s="378">
        <f ca="1">IF(J32&gt;=OFFSET($J$31,1,$K$35),1,0)</f>
        <v>0</v>
      </c>
      <c r="N32" s="383"/>
      <c r="O32" s="178">
        <f t="shared" si="1"/>
        <v>520</v>
      </c>
      <c r="P32" s="174">
        <f>ROUND(IF(O32&gt;770,75,($D$13*O32^5)-($D$14*O32^4)+($D$15*O32^3)-($D$16*O32^2)-($D$17*O32)+$D$18),2)</f>
        <v>155.12</v>
      </c>
      <c r="Q32" s="174">
        <f>ROUND(IF(O32&gt;1046,93,IF(O32&gt;900,((-0.1787671*O32)+279.990411),IF(O32&gt;665,((-0.3442553*O32)+428.9297872),($J$13*O32^5)-($J$14*O32^4)+($J$15*O32^3)-($J$16*O32^2)+($J$17*O32)+$J$18))),2)</f>
        <v>277.33999999999997</v>
      </c>
      <c r="S32" s="178">
        <f t="shared" si="5"/>
        <v>520</v>
      </c>
      <c r="T32" s="174">
        <f t="shared" si="3"/>
        <v>335.42</v>
      </c>
      <c r="U32" s="174">
        <f t="shared" si="4"/>
        <v>551.09</v>
      </c>
    </row>
    <row r="33" spans="1:21">
      <c r="A33" s="277"/>
      <c r="B33" s="277"/>
      <c r="C33" s="337">
        <f>'Warrant 4'!$V$20</f>
        <v>0</v>
      </c>
      <c r="D33" s="337">
        <f>'Warrant 4'!$V$22</f>
        <v>0</v>
      </c>
      <c r="E33" s="338">
        <f t="shared" ref="E33:E35" si="6">IF(C33&gt;1100,107,IF(C33&gt;990,((-0.18*C33)+305),($D$4*C33^5)-($D$5*C33^4)+($D$6*C33^3)-($D$7*C33^2)-($D$8*C33)+$D$9))</f>
        <v>661.94721440000001</v>
      </c>
      <c r="F33" s="338">
        <f t="shared" ref="F33:F35" si="7">IF(C33&gt;770,75,($D$13*C33^5)-($D$14*C33^4)+($D$15*C33^3)-($D$16*C33^2)-($D$17*C33)+$D$18)</f>
        <v>437.57309220000002</v>
      </c>
      <c r="G33" s="378">
        <f ca="1">IF(D33&gt;=OFFSET($D$31,2,$K$35),1,0)</f>
        <v>0</v>
      </c>
      <c r="H33" s="425"/>
      <c r="I33" s="338"/>
      <c r="J33" s="338"/>
      <c r="K33" s="338"/>
      <c r="L33" s="338"/>
      <c r="N33" s="383"/>
      <c r="O33" s="178">
        <f t="shared" si="1"/>
        <v>530</v>
      </c>
      <c r="P33" s="174">
        <f t="shared" si="2"/>
        <v>150.62</v>
      </c>
      <c r="Q33" s="174">
        <f t="shared" si="0"/>
        <v>271.57</v>
      </c>
      <c r="S33" s="178">
        <f t="shared" si="5"/>
        <v>530</v>
      </c>
      <c r="T33" s="174">
        <f t="shared" si="3"/>
        <v>329.2</v>
      </c>
      <c r="U33" s="174">
        <f t="shared" si="4"/>
        <v>543.47</v>
      </c>
    </row>
    <row r="34" spans="1:21">
      <c r="A34" s="277"/>
      <c r="B34" s="277"/>
      <c r="C34" s="337">
        <f>'Warrant 4'!$X$20</f>
        <v>0</v>
      </c>
      <c r="D34" s="337">
        <f>'Warrant 4'!$X$22</f>
        <v>0</v>
      </c>
      <c r="E34" s="338">
        <f t="shared" si="6"/>
        <v>661.94721440000001</v>
      </c>
      <c r="F34" s="338">
        <f t="shared" si="7"/>
        <v>437.57309220000002</v>
      </c>
      <c r="G34" s="378">
        <f ca="1">IF(D34&gt;=OFFSET($D$31,3,$K$35),1,0)</f>
        <v>0</v>
      </c>
      <c r="H34" s="425"/>
      <c r="I34" s="338"/>
      <c r="J34" s="338"/>
      <c r="K34" s="377" t="s">
        <v>33</v>
      </c>
      <c r="L34" s="338"/>
      <c r="N34" s="383"/>
      <c r="O34" s="178">
        <f t="shared" si="1"/>
        <v>540</v>
      </c>
      <c r="P34" s="174">
        <f t="shared" si="2"/>
        <v>146.19</v>
      </c>
      <c r="Q34" s="174">
        <f t="shared" si="0"/>
        <v>265.87</v>
      </c>
      <c r="S34" s="178">
        <f t="shared" si="5"/>
        <v>540</v>
      </c>
      <c r="T34" s="174">
        <f t="shared" si="3"/>
        <v>323.07</v>
      </c>
      <c r="U34" s="174">
        <f t="shared" si="4"/>
        <v>535.92999999999995</v>
      </c>
    </row>
    <row r="35" spans="1:21">
      <c r="A35" s="277"/>
      <c r="B35" s="277"/>
      <c r="C35" s="337">
        <f>'Warrant 4'!$Z$20</f>
        <v>0</v>
      </c>
      <c r="D35" s="337">
        <f>'Warrant 4'!$Z$22</f>
        <v>0</v>
      </c>
      <c r="E35" s="338">
        <f t="shared" si="6"/>
        <v>661.94721440000001</v>
      </c>
      <c r="F35" s="338">
        <f t="shared" si="7"/>
        <v>437.57309220000002</v>
      </c>
      <c r="G35" s="378">
        <f ca="1">IF(D35&gt;=OFFSET($D$31,4,$K$35),1,0)</f>
        <v>0</v>
      </c>
      <c r="H35" s="425"/>
      <c r="I35" s="338"/>
      <c r="J35" s="338"/>
      <c r="K35" s="370">
        <f>IF('Warrant 1'!AN18=0,1,2)</f>
        <v>1</v>
      </c>
      <c r="L35" s="338"/>
      <c r="N35" s="383"/>
      <c r="O35" s="178">
        <f t="shared" si="1"/>
        <v>550</v>
      </c>
      <c r="P35" s="174">
        <f t="shared" si="2"/>
        <v>141.85</v>
      </c>
      <c r="Q35" s="174">
        <f t="shared" si="0"/>
        <v>260.23</v>
      </c>
      <c r="S35" s="178">
        <f t="shared" si="5"/>
        <v>550</v>
      </c>
      <c r="T35" s="174">
        <f t="shared" si="3"/>
        <v>317.02999999999997</v>
      </c>
      <c r="U35" s="174">
        <f t="shared" si="4"/>
        <v>528.46</v>
      </c>
    </row>
    <row r="36" spans="1:21">
      <c r="A36" s="277"/>
      <c r="B36" s="277"/>
      <c r="G36" s="378">
        <f ca="1">SUM(G32:G35)</f>
        <v>0</v>
      </c>
      <c r="H36" s="425"/>
      <c r="I36" s="338"/>
      <c r="J36" s="338"/>
      <c r="K36" s="338"/>
      <c r="L36" s="338"/>
      <c r="N36" s="383"/>
      <c r="O36" s="178">
        <f t="shared" si="1"/>
        <v>560</v>
      </c>
      <c r="P36" s="174">
        <f t="shared" si="2"/>
        <v>137.58000000000001</v>
      </c>
      <c r="Q36" s="174">
        <f t="shared" si="0"/>
        <v>254.64</v>
      </c>
      <c r="S36" s="178">
        <f t="shared" si="5"/>
        <v>560</v>
      </c>
      <c r="T36" s="174">
        <f t="shared" si="3"/>
        <v>311.08</v>
      </c>
      <c r="U36" s="174">
        <f t="shared" si="4"/>
        <v>521.07000000000005</v>
      </c>
    </row>
    <row r="37" spans="1:21">
      <c r="A37" s="277"/>
      <c r="B37" s="277"/>
      <c r="C37" s="376"/>
      <c r="D37" s="376"/>
      <c r="E37" s="424" t="s">
        <v>174</v>
      </c>
      <c r="F37" s="426" t="s">
        <v>34</v>
      </c>
      <c r="K37" s="424" t="s">
        <v>174</v>
      </c>
      <c r="L37" s="426" t="s">
        <v>34</v>
      </c>
      <c r="M37" s="339"/>
      <c r="N37" s="383"/>
      <c r="O37" s="178">
        <f t="shared" si="1"/>
        <v>570</v>
      </c>
      <c r="P37" s="174">
        <f t="shared" si="2"/>
        <v>133.4</v>
      </c>
      <c r="Q37" s="174">
        <f t="shared" si="0"/>
        <v>249.12</v>
      </c>
      <c r="S37" s="178">
        <f t="shared" si="5"/>
        <v>570</v>
      </c>
      <c r="T37" s="174">
        <f t="shared" si="3"/>
        <v>305.20999999999998</v>
      </c>
      <c r="U37" s="174">
        <f t="shared" si="4"/>
        <v>513.77</v>
      </c>
    </row>
    <row r="38" spans="1:21">
      <c r="A38" s="277"/>
      <c r="B38" s="277"/>
      <c r="C38" s="370"/>
      <c r="D38" s="370"/>
      <c r="E38" s="427">
        <f>E32*0.8</f>
        <v>529.55777152000007</v>
      </c>
      <c r="F38" s="22">
        <f>IF(D32&gt;=E38,1,0)</f>
        <v>0</v>
      </c>
      <c r="K38" s="427">
        <f>K32*0.8</f>
        <v>664.26239864000001</v>
      </c>
      <c r="L38" s="22">
        <f>IF(J32&gt;=K38,1,0)</f>
        <v>0</v>
      </c>
      <c r="M38" s="382"/>
      <c r="N38" s="383"/>
      <c r="O38" s="178">
        <f t="shared" si="1"/>
        <v>580</v>
      </c>
      <c r="P38" s="174">
        <f t="shared" si="2"/>
        <v>129.31</v>
      </c>
      <c r="Q38" s="174">
        <f t="shared" si="0"/>
        <v>243.65</v>
      </c>
      <c r="S38" s="178">
        <f t="shared" si="5"/>
        <v>580</v>
      </c>
      <c r="T38" s="174">
        <f t="shared" si="3"/>
        <v>299.44</v>
      </c>
      <c r="U38" s="174">
        <f t="shared" si="4"/>
        <v>506.54</v>
      </c>
    </row>
    <row r="39" spans="1:21">
      <c r="A39" s="277"/>
      <c r="B39" s="277"/>
      <c r="E39" s="427">
        <f t="shared" ref="E39:E41" si="8">E33*0.8</f>
        <v>529.55777152000007</v>
      </c>
      <c r="F39" s="22">
        <f t="shared" ref="F39:F41" si="9">IF(D33&gt;=E39,1,0)</f>
        <v>0</v>
      </c>
      <c r="N39" s="383"/>
      <c r="O39" s="178">
        <f t="shared" si="1"/>
        <v>590</v>
      </c>
      <c r="P39" s="174">
        <f t="shared" si="2"/>
        <v>125.31</v>
      </c>
      <c r="Q39" s="174">
        <f t="shared" si="0"/>
        <v>238.25</v>
      </c>
      <c r="S39" s="178">
        <f t="shared" si="5"/>
        <v>590</v>
      </c>
      <c r="T39" s="174">
        <f t="shared" si="3"/>
        <v>293.75</v>
      </c>
      <c r="U39" s="174">
        <f t="shared" si="4"/>
        <v>499.41</v>
      </c>
    </row>
    <row r="40" spans="1:21">
      <c r="A40" s="277"/>
      <c r="B40" s="277"/>
      <c r="C40" s="296"/>
      <c r="D40" s="296"/>
      <c r="E40" s="427">
        <f t="shared" si="8"/>
        <v>529.55777152000007</v>
      </c>
      <c r="F40" s="22">
        <f t="shared" si="9"/>
        <v>0</v>
      </c>
      <c r="G40" s="370"/>
      <c r="H40" s="370"/>
      <c r="I40" s="250"/>
      <c r="J40" s="250"/>
      <c r="K40" s="250"/>
      <c r="L40" s="250"/>
      <c r="M40" s="339"/>
      <c r="N40" s="383"/>
      <c r="O40" s="178">
        <f t="shared" si="1"/>
        <v>600</v>
      </c>
      <c r="P40" s="174">
        <f t="shared" si="2"/>
        <v>121.41</v>
      </c>
      <c r="Q40" s="174">
        <f t="shared" si="0"/>
        <v>232.92</v>
      </c>
      <c r="S40" s="178">
        <f t="shared" si="5"/>
        <v>600</v>
      </c>
      <c r="T40" s="174">
        <f t="shared" si="3"/>
        <v>288.16000000000003</v>
      </c>
      <c r="U40" s="174">
        <f t="shared" si="4"/>
        <v>492.36</v>
      </c>
    </row>
    <row r="41" spans="1:21">
      <c r="A41" s="277"/>
      <c r="B41" s="277"/>
      <c r="C41" s="296"/>
      <c r="D41" s="296"/>
      <c r="E41" s="427">
        <f t="shared" si="8"/>
        <v>529.55777152000007</v>
      </c>
      <c r="F41" s="22">
        <f t="shared" si="9"/>
        <v>0</v>
      </c>
      <c r="G41" s="374"/>
      <c r="H41" s="374"/>
      <c r="I41" s="374"/>
      <c r="J41" s="374"/>
      <c r="K41" s="374"/>
      <c r="L41" s="374"/>
      <c r="M41" s="375"/>
      <c r="N41" s="383"/>
      <c r="O41" s="178">
        <f t="shared" si="1"/>
        <v>610</v>
      </c>
      <c r="P41" s="174">
        <f t="shared" si="2"/>
        <v>117.6</v>
      </c>
      <c r="Q41" s="174">
        <f t="shared" si="0"/>
        <v>227.65</v>
      </c>
      <c r="S41" s="178">
        <f t="shared" si="5"/>
        <v>610</v>
      </c>
      <c r="T41" s="174">
        <f t="shared" si="3"/>
        <v>282.64999999999998</v>
      </c>
      <c r="U41" s="174">
        <f t="shared" si="4"/>
        <v>485.4</v>
      </c>
    </row>
    <row r="42" spans="1:21">
      <c r="A42" s="277"/>
      <c r="B42" s="277"/>
      <c r="F42" s="22">
        <f>SUM(F38:F41)</f>
        <v>0</v>
      </c>
      <c r="G42" s="96"/>
      <c r="H42" s="96"/>
      <c r="I42" s="96"/>
      <c r="J42" s="96"/>
      <c r="K42" s="96"/>
      <c r="L42" s="96"/>
      <c r="M42" s="378"/>
      <c r="N42" s="383"/>
      <c r="O42" s="178">
        <f t="shared" si="1"/>
        <v>620</v>
      </c>
      <c r="P42" s="174">
        <f t="shared" si="2"/>
        <v>113.9</v>
      </c>
      <c r="Q42" s="174">
        <f t="shared" si="0"/>
        <v>222.44</v>
      </c>
      <c r="S42" s="178">
        <f t="shared" si="5"/>
        <v>620</v>
      </c>
      <c r="T42" s="174">
        <f t="shared" si="3"/>
        <v>277.23</v>
      </c>
      <c r="U42" s="174">
        <f t="shared" si="4"/>
        <v>478.53</v>
      </c>
    </row>
    <row r="43" spans="1:21">
      <c r="A43" s="277"/>
      <c r="B43" s="277"/>
      <c r="N43" s="383"/>
      <c r="O43" s="178">
        <f t="shared" si="1"/>
        <v>630</v>
      </c>
      <c r="P43" s="174">
        <f t="shared" si="2"/>
        <v>110.31</v>
      </c>
      <c r="Q43" s="174">
        <f t="shared" si="0"/>
        <v>217.31</v>
      </c>
      <c r="S43" s="178">
        <f t="shared" si="5"/>
        <v>630</v>
      </c>
      <c r="T43" s="174">
        <f t="shared" si="3"/>
        <v>271.89999999999998</v>
      </c>
      <c r="U43" s="174">
        <f t="shared" si="4"/>
        <v>471.75</v>
      </c>
    </row>
    <row r="44" spans="1:21">
      <c r="A44" s="277"/>
      <c r="B44" s="277"/>
      <c r="N44" s="383"/>
      <c r="O44" s="178">
        <f t="shared" si="1"/>
        <v>640</v>
      </c>
      <c r="P44" s="174">
        <f t="shared" si="2"/>
        <v>106.84</v>
      </c>
      <c r="Q44" s="174">
        <f t="shared" si="0"/>
        <v>212.25</v>
      </c>
      <c r="S44" s="178">
        <f t="shared" si="5"/>
        <v>640</v>
      </c>
      <c r="T44" s="174">
        <f t="shared" si="3"/>
        <v>266.66000000000003</v>
      </c>
      <c r="U44" s="174">
        <f t="shared" si="4"/>
        <v>465.06</v>
      </c>
    </row>
    <row r="45" spans="1:21">
      <c r="A45" s="277"/>
      <c r="B45" s="277"/>
      <c r="N45" s="383"/>
      <c r="O45" s="178">
        <f t="shared" si="1"/>
        <v>650</v>
      </c>
      <c r="P45" s="174">
        <f t="shared" si="2"/>
        <v>103.48</v>
      </c>
      <c r="Q45" s="174">
        <f t="shared" si="0"/>
        <v>207.26</v>
      </c>
      <c r="S45" s="178">
        <f t="shared" si="5"/>
        <v>650</v>
      </c>
      <c r="T45" s="174">
        <f t="shared" si="3"/>
        <v>261.5</v>
      </c>
      <c r="U45" s="174">
        <f t="shared" si="4"/>
        <v>458.46</v>
      </c>
    </row>
    <row r="46" spans="1:21">
      <c r="A46" s="277"/>
      <c r="B46" s="277"/>
      <c r="C46" s="295"/>
      <c r="D46" s="45"/>
      <c r="E46" s="45"/>
      <c r="F46" s="96"/>
      <c r="G46" s="96"/>
      <c r="H46" s="96"/>
      <c r="I46" s="96"/>
      <c r="J46" s="382"/>
      <c r="K46" s="383"/>
      <c r="L46" s="96"/>
      <c r="M46" s="382"/>
      <c r="N46" s="383"/>
      <c r="O46" s="178">
        <f t="shared" si="1"/>
        <v>660</v>
      </c>
      <c r="P46" s="174">
        <f t="shared" si="2"/>
        <v>100.26</v>
      </c>
      <c r="Q46" s="174">
        <f t="shared" si="0"/>
        <v>202.36</v>
      </c>
      <c r="S46" s="178">
        <f t="shared" si="5"/>
        <v>660</v>
      </c>
      <c r="T46" s="174">
        <f t="shared" si="3"/>
        <v>256.43</v>
      </c>
      <c r="U46" s="174">
        <f t="shared" si="4"/>
        <v>451.95</v>
      </c>
    </row>
    <row r="47" spans="1:21">
      <c r="A47" s="45"/>
      <c r="B47" s="45"/>
      <c r="C47" s="45"/>
      <c r="D47" s="45"/>
      <c r="E47" s="45"/>
      <c r="F47" s="45"/>
      <c r="G47" s="45"/>
      <c r="H47" s="45"/>
      <c r="I47" s="45"/>
      <c r="J47" s="45"/>
      <c r="K47" s="383"/>
      <c r="L47" s="45"/>
      <c r="M47" s="45"/>
      <c r="N47" s="383"/>
      <c r="O47" s="178">
        <f t="shared" si="1"/>
        <v>670</v>
      </c>
      <c r="P47" s="174">
        <f t="shared" si="2"/>
        <v>97.16</v>
      </c>
      <c r="Q47" s="174">
        <f t="shared" si="0"/>
        <v>198.28</v>
      </c>
      <c r="S47" s="178">
        <f t="shared" si="5"/>
        <v>670</v>
      </c>
      <c r="T47" s="174">
        <f t="shared" si="3"/>
        <v>251.44</v>
      </c>
      <c r="U47" s="174">
        <f t="shared" si="4"/>
        <v>445.54</v>
      </c>
    </row>
    <row r="48" spans="1:21">
      <c r="A48" s="45"/>
      <c r="B48" s="45"/>
      <c r="C48" s="380"/>
      <c r="D48" s="380"/>
      <c r="E48" s="384"/>
      <c r="F48" s="45"/>
      <c r="G48" s="45"/>
      <c r="H48" s="45"/>
      <c r="I48" s="45"/>
      <c r="J48" s="45"/>
      <c r="K48" s="45"/>
      <c r="L48" s="45"/>
      <c r="M48" s="45"/>
      <c r="N48" s="45"/>
      <c r="O48" s="178">
        <f t="shared" si="1"/>
        <v>680</v>
      </c>
      <c r="P48" s="174">
        <f t="shared" si="2"/>
        <v>94.21</v>
      </c>
      <c r="Q48" s="174">
        <f t="shared" si="0"/>
        <v>194.84</v>
      </c>
      <c r="S48" s="178">
        <f t="shared" si="5"/>
        <v>680</v>
      </c>
      <c r="T48" s="174">
        <f t="shared" si="3"/>
        <v>246.54</v>
      </c>
      <c r="U48" s="174">
        <f t="shared" si="4"/>
        <v>439.21</v>
      </c>
    </row>
    <row r="49" spans="1:21">
      <c r="A49" s="45"/>
      <c r="B49" s="45"/>
      <c r="C49" s="45"/>
      <c r="D49" s="45"/>
      <c r="E49" s="45"/>
      <c r="F49" s="45"/>
      <c r="G49" s="45"/>
      <c r="H49" s="45"/>
      <c r="I49" s="45"/>
      <c r="J49" s="45"/>
      <c r="K49" s="45"/>
      <c r="L49" s="45"/>
      <c r="M49" s="45"/>
      <c r="N49" s="45"/>
      <c r="O49" s="178">
        <f t="shared" si="1"/>
        <v>690</v>
      </c>
      <c r="P49" s="174">
        <f t="shared" si="2"/>
        <v>91.4</v>
      </c>
      <c r="Q49" s="174">
        <f t="shared" si="0"/>
        <v>191.39</v>
      </c>
      <c r="S49" s="178">
        <f t="shared" si="5"/>
        <v>690</v>
      </c>
      <c r="T49" s="174">
        <f t="shared" si="3"/>
        <v>241.72</v>
      </c>
      <c r="U49" s="174">
        <f t="shared" si="4"/>
        <v>432.98</v>
      </c>
    </row>
    <row r="50" spans="1:21">
      <c r="A50" s="45"/>
      <c r="B50" s="45"/>
      <c r="C50" s="308"/>
      <c r="D50" s="308"/>
      <c r="E50" s="308"/>
      <c r="F50" s="308"/>
      <c r="G50" s="403"/>
      <c r="H50" s="308"/>
      <c r="I50" s="308"/>
      <c r="J50" s="308"/>
      <c r="K50" s="308"/>
      <c r="L50" s="403"/>
      <c r="M50" s="45"/>
      <c r="N50" s="45"/>
      <c r="O50" s="178">
        <f t="shared" si="1"/>
        <v>700</v>
      </c>
      <c r="P50" s="174">
        <f t="shared" si="2"/>
        <v>88.74</v>
      </c>
      <c r="Q50" s="174">
        <f t="shared" si="0"/>
        <v>187.95</v>
      </c>
      <c r="S50" s="178">
        <f t="shared" si="5"/>
        <v>700</v>
      </c>
      <c r="T50" s="174">
        <f t="shared" si="3"/>
        <v>236.98</v>
      </c>
      <c r="U50" s="174">
        <f t="shared" si="4"/>
        <v>426.84</v>
      </c>
    </row>
    <row r="51" spans="1:21">
      <c r="A51" s="45"/>
      <c r="B51" s="45"/>
      <c r="C51" s="372"/>
      <c r="D51" s="372"/>
      <c r="E51" s="372"/>
      <c r="F51" s="381"/>
      <c r="G51" s="404"/>
      <c r="H51" s="372"/>
      <c r="I51" s="372"/>
      <c r="J51" s="372"/>
      <c r="K51" s="381"/>
      <c r="L51" s="404"/>
      <c r="M51" s="45"/>
      <c r="N51" s="45"/>
      <c r="O51" s="178">
        <f t="shared" si="1"/>
        <v>710</v>
      </c>
      <c r="P51" s="174">
        <f t="shared" si="2"/>
        <v>86.25</v>
      </c>
      <c r="Q51" s="174">
        <f t="shared" si="0"/>
        <v>184.51</v>
      </c>
      <c r="S51" s="178">
        <f t="shared" si="5"/>
        <v>710</v>
      </c>
      <c r="T51" s="174">
        <f t="shared" si="3"/>
        <v>232.32</v>
      </c>
      <c r="U51" s="174">
        <f t="shared" si="4"/>
        <v>420.79</v>
      </c>
    </row>
    <row r="52" spans="1:21">
      <c r="A52" s="45"/>
      <c r="B52" s="277"/>
      <c r="C52" s="295"/>
      <c r="D52" s="296"/>
      <c r="E52" s="296"/>
      <c r="F52" s="405"/>
      <c r="G52" s="300"/>
      <c r="H52" s="295"/>
      <c r="I52" s="296"/>
      <c r="J52" s="296"/>
      <c r="K52" s="405"/>
      <c r="L52" s="300"/>
      <c r="M52" s="45"/>
      <c r="N52" s="45"/>
      <c r="O52" s="178">
        <f t="shared" si="1"/>
        <v>720</v>
      </c>
      <c r="P52" s="174">
        <f t="shared" si="2"/>
        <v>83.93</v>
      </c>
      <c r="Q52" s="174">
        <f t="shared" si="0"/>
        <v>181.07</v>
      </c>
      <c r="S52" s="178">
        <f t="shared" si="5"/>
        <v>720</v>
      </c>
      <c r="T52" s="174">
        <f t="shared" si="3"/>
        <v>227.74</v>
      </c>
      <c r="U52" s="174">
        <f t="shared" si="4"/>
        <v>414.82</v>
      </c>
    </row>
    <row r="53" spans="1:21">
      <c r="A53" s="45"/>
      <c r="B53" s="277"/>
      <c r="C53" s="295"/>
      <c r="D53" s="296"/>
      <c r="E53" s="296"/>
      <c r="F53" s="405"/>
      <c r="G53" s="300"/>
      <c r="H53" s="295"/>
      <c r="I53" s="296"/>
      <c r="J53" s="296"/>
      <c r="K53" s="405"/>
      <c r="L53" s="300"/>
      <c r="M53" s="45"/>
      <c r="N53" s="45"/>
      <c r="O53" s="178">
        <f t="shared" si="1"/>
        <v>730</v>
      </c>
      <c r="P53" s="174">
        <f t="shared" si="2"/>
        <v>81.78</v>
      </c>
      <c r="Q53" s="174">
        <f t="shared" si="0"/>
        <v>177.62</v>
      </c>
      <c r="S53" s="178">
        <f t="shared" si="5"/>
        <v>730</v>
      </c>
      <c r="T53" s="174">
        <f t="shared" si="3"/>
        <v>223.24</v>
      </c>
      <c r="U53" s="174">
        <f t="shared" si="4"/>
        <v>408.95</v>
      </c>
    </row>
    <row r="54" spans="1:21">
      <c r="A54" s="45"/>
      <c r="B54" s="277"/>
      <c r="C54" s="295"/>
      <c r="D54" s="296"/>
      <c r="E54" s="296"/>
      <c r="F54" s="405"/>
      <c r="G54" s="300"/>
      <c r="H54" s="295"/>
      <c r="I54" s="296"/>
      <c r="J54" s="296"/>
      <c r="K54" s="405"/>
      <c r="L54" s="300"/>
      <c r="M54" s="45"/>
      <c r="N54" s="45"/>
      <c r="O54" s="178">
        <f t="shared" si="1"/>
        <v>740</v>
      </c>
      <c r="P54" s="174">
        <f t="shared" si="2"/>
        <v>79.83</v>
      </c>
      <c r="Q54" s="174">
        <f t="shared" si="0"/>
        <v>174.18</v>
      </c>
      <c r="S54" s="178">
        <f t="shared" si="5"/>
        <v>740</v>
      </c>
      <c r="T54" s="174">
        <f t="shared" si="3"/>
        <v>218.81</v>
      </c>
      <c r="U54" s="174">
        <f t="shared" si="4"/>
        <v>403.16</v>
      </c>
    </row>
    <row r="55" spans="1:21">
      <c r="A55" s="45"/>
      <c r="B55" s="277"/>
      <c r="C55" s="295"/>
      <c r="D55" s="296"/>
      <c r="E55" s="296"/>
      <c r="F55" s="405"/>
      <c r="G55" s="300"/>
      <c r="H55" s="295"/>
      <c r="I55" s="296"/>
      <c r="J55" s="296"/>
      <c r="K55" s="405"/>
      <c r="L55" s="300"/>
      <c r="M55" s="45"/>
      <c r="N55" s="45"/>
      <c r="O55" s="178">
        <f t="shared" si="1"/>
        <v>750</v>
      </c>
      <c r="P55" s="174">
        <f t="shared" si="2"/>
        <v>78.069999999999993</v>
      </c>
      <c r="Q55" s="174">
        <f t="shared" si="0"/>
        <v>170.74</v>
      </c>
      <c r="S55" s="178">
        <f t="shared" si="5"/>
        <v>750</v>
      </c>
      <c r="T55" s="174">
        <f t="shared" si="3"/>
        <v>214.45</v>
      </c>
      <c r="U55" s="174">
        <f t="shared" si="4"/>
        <v>397.45</v>
      </c>
    </row>
    <row r="56" spans="1:21">
      <c r="A56" s="45"/>
      <c r="B56" s="277"/>
      <c r="C56" s="295"/>
      <c r="D56" s="296"/>
      <c r="E56" s="296"/>
      <c r="F56" s="405"/>
      <c r="G56" s="300"/>
      <c r="H56" s="295"/>
      <c r="I56" s="296"/>
      <c r="J56" s="296"/>
      <c r="K56" s="405"/>
      <c r="L56" s="300"/>
      <c r="M56" s="45"/>
      <c r="N56" s="45"/>
      <c r="O56" s="178">
        <f t="shared" si="1"/>
        <v>760</v>
      </c>
      <c r="P56" s="174">
        <f t="shared" si="2"/>
        <v>76.52</v>
      </c>
      <c r="Q56" s="174">
        <f t="shared" si="0"/>
        <v>167.3</v>
      </c>
      <c r="S56" s="178">
        <f t="shared" si="5"/>
        <v>760</v>
      </c>
      <c r="T56" s="174">
        <f t="shared" si="3"/>
        <v>210.17</v>
      </c>
      <c r="U56" s="174">
        <f t="shared" si="4"/>
        <v>391.83</v>
      </c>
    </row>
    <row r="57" spans="1:21">
      <c r="A57" s="45"/>
      <c r="B57" s="277"/>
      <c r="C57" s="295"/>
      <c r="D57" s="296"/>
      <c r="E57" s="296"/>
      <c r="F57" s="405"/>
      <c r="G57" s="300"/>
      <c r="H57" s="295"/>
      <c r="I57" s="296"/>
      <c r="J57" s="296"/>
      <c r="K57" s="405"/>
      <c r="L57" s="300"/>
      <c r="M57" s="45"/>
      <c r="N57" s="45"/>
      <c r="O57" s="178">
        <f t="shared" si="1"/>
        <v>770</v>
      </c>
      <c r="P57" s="174">
        <f t="shared" si="2"/>
        <v>75.2</v>
      </c>
      <c r="Q57" s="174">
        <f t="shared" si="0"/>
        <v>163.85</v>
      </c>
      <c r="S57" s="178">
        <f t="shared" si="5"/>
        <v>770</v>
      </c>
      <c r="T57" s="174">
        <f t="shared" si="3"/>
        <v>205.96</v>
      </c>
      <c r="U57" s="174">
        <f t="shared" si="4"/>
        <v>386.28</v>
      </c>
    </row>
    <row r="58" spans="1:21">
      <c r="A58" s="45"/>
      <c r="B58" s="277"/>
      <c r="C58" s="295"/>
      <c r="D58" s="296"/>
      <c r="E58" s="296"/>
      <c r="F58" s="405"/>
      <c r="G58" s="300"/>
      <c r="H58" s="295"/>
      <c r="I58" s="296"/>
      <c r="J58" s="296"/>
      <c r="K58" s="405"/>
      <c r="L58" s="300"/>
      <c r="M58" s="45"/>
      <c r="N58" s="45"/>
      <c r="O58" s="178">
        <f t="shared" si="1"/>
        <v>780</v>
      </c>
      <c r="P58" s="174">
        <f t="shared" si="2"/>
        <v>75</v>
      </c>
      <c r="Q58" s="174">
        <f t="shared" si="0"/>
        <v>160.41</v>
      </c>
      <c r="S58" s="178">
        <f t="shared" si="5"/>
        <v>780</v>
      </c>
      <c r="T58" s="174">
        <f t="shared" si="3"/>
        <v>201.81</v>
      </c>
      <c r="U58" s="174">
        <f t="shared" si="4"/>
        <v>380.82</v>
      </c>
    </row>
    <row r="59" spans="1:21">
      <c r="A59" s="45"/>
      <c r="B59" s="277"/>
      <c r="C59" s="295"/>
      <c r="D59" s="296"/>
      <c r="E59" s="296"/>
      <c r="F59" s="405"/>
      <c r="G59" s="300"/>
      <c r="H59" s="295"/>
      <c r="I59" s="296"/>
      <c r="J59" s="296"/>
      <c r="K59" s="405"/>
      <c r="L59" s="300"/>
      <c r="M59" s="45"/>
      <c r="N59" s="45"/>
      <c r="O59" s="178">
        <f t="shared" si="1"/>
        <v>790</v>
      </c>
      <c r="P59" s="174">
        <f t="shared" si="2"/>
        <v>75</v>
      </c>
      <c r="Q59" s="174">
        <f t="shared" si="0"/>
        <v>156.97</v>
      </c>
      <c r="S59" s="178">
        <f t="shared" si="5"/>
        <v>790</v>
      </c>
      <c r="T59" s="174">
        <f t="shared" si="3"/>
        <v>197.74</v>
      </c>
      <c r="U59" s="174">
        <f t="shared" si="4"/>
        <v>375.44</v>
      </c>
    </row>
    <row r="60" spans="1:21">
      <c r="A60" s="45"/>
      <c r="B60" s="277"/>
      <c r="C60" s="295"/>
      <c r="D60" s="296"/>
      <c r="E60" s="296"/>
      <c r="F60" s="405"/>
      <c r="G60" s="300"/>
      <c r="H60" s="295"/>
      <c r="I60" s="296"/>
      <c r="J60" s="296"/>
      <c r="K60" s="405"/>
      <c r="L60" s="300"/>
      <c r="M60" s="45"/>
      <c r="N60" s="45"/>
      <c r="O60" s="178">
        <f t="shared" si="1"/>
        <v>800</v>
      </c>
      <c r="P60" s="174">
        <f t="shared" si="2"/>
        <v>75</v>
      </c>
      <c r="Q60" s="174">
        <f t="shared" si="0"/>
        <v>153.53</v>
      </c>
      <c r="S60" s="178">
        <f t="shared" si="5"/>
        <v>800</v>
      </c>
      <c r="T60" s="174">
        <f t="shared" si="3"/>
        <v>193.73</v>
      </c>
      <c r="U60" s="174">
        <f t="shared" si="4"/>
        <v>370.13</v>
      </c>
    </row>
    <row r="61" spans="1:21">
      <c r="A61" s="45"/>
      <c r="B61" s="277"/>
      <c r="C61" s="295"/>
      <c r="D61" s="296"/>
      <c r="E61" s="296"/>
      <c r="F61" s="405"/>
      <c r="G61" s="300"/>
      <c r="H61" s="295"/>
      <c r="I61" s="296"/>
      <c r="J61" s="296"/>
      <c r="K61" s="405"/>
      <c r="L61" s="300"/>
      <c r="M61" s="45"/>
      <c r="N61" s="45"/>
      <c r="O61" s="178">
        <f t="shared" si="1"/>
        <v>810</v>
      </c>
      <c r="P61" s="174">
        <f t="shared" si="2"/>
        <v>75</v>
      </c>
      <c r="Q61" s="174">
        <f t="shared" si="0"/>
        <v>150.08000000000001</v>
      </c>
      <c r="S61" s="178">
        <f t="shared" si="5"/>
        <v>810</v>
      </c>
      <c r="T61" s="174">
        <f t="shared" si="3"/>
        <v>189.78</v>
      </c>
      <c r="U61" s="174">
        <f t="shared" si="4"/>
        <v>364.9</v>
      </c>
    </row>
    <row r="62" spans="1:21">
      <c r="A62" s="45"/>
      <c r="B62" s="277"/>
      <c r="C62" s="295"/>
      <c r="D62" s="296"/>
      <c r="E62" s="296"/>
      <c r="F62" s="405"/>
      <c r="G62" s="300"/>
      <c r="H62" s="295"/>
      <c r="I62" s="296"/>
      <c r="J62" s="296"/>
      <c r="K62" s="405"/>
      <c r="L62" s="300"/>
      <c r="M62" s="45"/>
      <c r="N62" s="45"/>
      <c r="O62" s="178">
        <f t="shared" si="1"/>
        <v>820</v>
      </c>
      <c r="P62" s="174">
        <f t="shared" si="2"/>
        <v>75</v>
      </c>
      <c r="Q62" s="174">
        <f t="shared" si="0"/>
        <v>146.63999999999999</v>
      </c>
      <c r="S62" s="178">
        <f t="shared" si="5"/>
        <v>820</v>
      </c>
      <c r="T62" s="174">
        <f t="shared" si="3"/>
        <v>185.9</v>
      </c>
      <c r="U62" s="174">
        <f t="shared" si="4"/>
        <v>359.74</v>
      </c>
    </row>
    <row r="63" spans="1:21">
      <c r="A63" s="45"/>
      <c r="B63" s="277"/>
      <c r="C63" s="295"/>
      <c r="D63" s="296"/>
      <c r="E63" s="296"/>
      <c r="F63" s="405"/>
      <c r="G63" s="300"/>
      <c r="H63" s="295"/>
      <c r="I63" s="296"/>
      <c r="J63" s="296"/>
      <c r="K63" s="405"/>
      <c r="L63" s="300"/>
      <c r="M63" s="45"/>
      <c r="N63" s="45"/>
      <c r="O63" s="178">
        <f t="shared" si="1"/>
        <v>830</v>
      </c>
      <c r="P63" s="174">
        <f t="shared" si="2"/>
        <v>75</v>
      </c>
      <c r="Q63" s="174">
        <f t="shared" si="0"/>
        <v>143.19999999999999</v>
      </c>
      <c r="S63" s="178">
        <f t="shared" si="5"/>
        <v>830</v>
      </c>
      <c r="T63" s="174">
        <f t="shared" si="3"/>
        <v>182.07</v>
      </c>
      <c r="U63" s="174">
        <f t="shared" si="4"/>
        <v>354.65</v>
      </c>
    </row>
    <row r="64" spans="1:21">
      <c r="A64" s="45"/>
      <c r="B64" s="277"/>
      <c r="C64" s="295"/>
      <c r="D64" s="296"/>
      <c r="E64" s="296"/>
      <c r="F64" s="405"/>
      <c r="G64" s="300"/>
      <c r="H64" s="295"/>
      <c r="I64" s="296"/>
      <c r="J64" s="296"/>
      <c r="K64" s="405"/>
      <c r="L64" s="300"/>
      <c r="M64" s="45"/>
      <c r="N64" s="45"/>
      <c r="O64" s="178">
        <f t="shared" si="1"/>
        <v>840</v>
      </c>
      <c r="P64" s="174">
        <f t="shared" si="2"/>
        <v>75</v>
      </c>
      <c r="Q64" s="174">
        <f t="shared" si="0"/>
        <v>139.76</v>
      </c>
      <c r="S64" s="178">
        <f t="shared" si="5"/>
        <v>840</v>
      </c>
      <c r="T64" s="174">
        <f t="shared" si="3"/>
        <v>178.31</v>
      </c>
      <c r="U64" s="174">
        <f t="shared" si="4"/>
        <v>349.63</v>
      </c>
    </row>
    <row r="65" spans="1:21">
      <c r="A65" s="45"/>
      <c r="B65" s="277"/>
      <c r="C65" s="295"/>
      <c r="D65" s="296"/>
      <c r="E65" s="296"/>
      <c r="F65" s="405"/>
      <c r="G65" s="300"/>
      <c r="H65" s="295"/>
      <c r="I65" s="296"/>
      <c r="J65" s="296"/>
      <c r="K65" s="405"/>
      <c r="L65" s="300"/>
      <c r="M65" s="45"/>
      <c r="N65" s="45"/>
      <c r="O65" s="178">
        <f t="shared" si="1"/>
        <v>850</v>
      </c>
      <c r="P65" s="174">
        <f t="shared" si="2"/>
        <v>75</v>
      </c>
      <c r="Q65" s="174">
        <f t="shared" si="0"/>
        <v>136.31</v>
      </c>
      <c r="S65" s="178">
        <f t="shared" si="5"/>
        <v>850</v>
      </c>
      <c r="T65" s="174">
        <f t="shared" si="3"/>
        <v>174.6</v>
      </c>
      <c r="U65" s="174">
        <f t="shared" si="4"/>
        <v>344.67</v>
      </c>
    </row>
    <row r="66" spans="1:21">
      <c r="A66" s="45"/>
      <c r="B66" s="277"/>
      <c r="C66" s="295"/>
      <c r="D66" s="296"/>
      <c r="E66" s="296"/>
      <c r="F66" s="405"/>
      <c r="G66" s="300"/>
      <c r="H66" s="295"/>
      <c r="I66" s="296"/>
      <c r="J66" s="296"/>
      <c r="K66" s="405"/>
      <c r="L66" s="300"/>
      <c r="M66" s="45"/>
      <c r="N66" s="45"/>
      <c r="O66" s="178">
        <f t="shared" si="1"/>
        <v>860</v>
      </c>
      <c r="P66" s="174">
        <f t="shared" si="2"/>
        <v>75</v>
      </c>
      <c r="Q66" s="174">
        <f t="shared" si="0"/>
        <v>132.87</v>
      </c>
      <c r="S66" s="178">
        <f t="shared" si="5"/>
        <v>860</v>
      </c>
      <c r="T66" s="174">
        <f t="shared" si="3"/>
        <v>170.95</v>
      </c>
      <c r="U66" s="174">
        <f t="shared" si="4"/>
        <v>339.78</v>
      </c>
    </row>
    <row r="67" spans="1:21">
      <c r="A67" s="45"/>
      <c r="B67" s="277"/>
      <c r="C67" s="295"/>
      <c r="D67" s="296"/>
      <c r="E67" s="296"/>
      <c r="F67" s="405"/>
      <c r="G67" s="300"/>
      <c r="H67" s="295"/>
      <c r="I67" s="296"/>
      <c r="J67" s="296"/>
      <c r="K67" s="405"/>
      <c r="L67" s="300"/>
      <c r="M67" s="45"/>
      <c r="N67" s="45"/>
      <c r="O67" s="178">
        <f t="shared" si="1"/>
        <v>870</v>
      </c>
      <c r="P67" s="174">
        <f t="shared" si="2"/>
        <v>75</v>
      </c>
      <c r="Q67" s="174">
        <f t="shared" si="0"/>
        <v>129.43</v>
      </c>
      <c r="S67" s="178">
        <f t="shared" si="5"/>
        <v>870</v>
      </c>
      <c r="T67" s="174">
        <f t="shared" si="3"/>
        <v>167.35</v>
      </c>
      <c r="U67" s="174">
        <f t="shared" si="4"/>
        <v>334.94</v>
      </c>
    </row>
    <row r="68" spans="1:21">
      <c r="A68" s="45"/>
      <c r="B68" s="277"/>
      <c r="C68" s="295"/>
      <c r="D68" s="296"/>
      <c r="E68" s="296"/>
      <c r="F68" s="405"/>
      <c r="G68" s="300"/>
      <c r="H68" s="295"/>
      <c r="I68" s="296"/>
      <c r="J68" s="296"/>
      <c r="K68" s="405"/>
      <c r="L68" s="300"/>
      <c r="M68" s="45"/>
      <c r="N68" s="45"/>
      <c r="O68" s="178">
        <f t="shared" si="1"/>
        <v>880</v>
      </c>
      <c r="P68" s="174">
        <f t="shared" si="2"/>
        <v>75</v>
      </c>
      <c r="Q68" s="174">
        <f t="shared" si="0"/>
        <v>125.99</v>
      </c>
      <c r="S68" s="178">
        <f t="shared" si="5"/>
        <v>880</v>
      </c>
      <c r="T68" s="174">
        <f t="shared" si="3"/>
        <v>163.80000000000001</v>
      </c>
      <c r="U68" s="174">
        <f t="shared" si="4"/>
        <v>330.17</v>
      </c>
    </row>
    <row r="69" spans="1:21">
      <c r="A69" s="45"/>
      <c r="B69" s="277"/>
      <c r="C69" s="295"/>
      <c r="D69" s="296"/>
      <c r="E69" s="296"/>
      <c r="F69" s="405"/>
      <c r="G69" s="300"/>
      <c r="H69" s="295"/>
      <c r="I69" s="296"/>
      <c r="J69" s="296"/>
      <c r="K69" s="405"/>
      <c r="L69" s="300"/>
      <c r="M69" s="45"/>
      <c r="N69" s="45"/>
      <c r="O69" s="178">
        <f t="shared" si="1"/>
        <v>890</v>
      </c>
      <c r="P69" s="174">
        <f t="shared" si="2"/>
        <v>75</v>
      </c>
      <c r="Q69" s="174">
        <f t="shared" si="0"/>
        <v>122.54</v>
      </c>
      <c r="S69" s="178">
        <f t="shared" si="5"/>
        <v>890</v>
      </c>
      <c r="T69" s="174">
        <f t="shared" si="3"/>
        <v>160.31</v>
      </c>
      <c r="U69" s="174">
        <f t="shared" si="4"/>
        <v>325.45</v>
      </c>
    </row>
    <row r="70" spans="1:21">
      <c r="A70" s="45"/>
      <c r="B70" s="277"/>
      <c r="C70" s="295"/>
      <c r="D70" s="296"/>
      <c r="E70" s="296"/>
      <c r="F70" s="405"/>
      <c r="G70" s="300"/>
      <c r="H70" s="295"/>
      <c r="I70" s="296"/>
      <c r="J70" s="296"/>
      <c r="K70" s="405"/>
      <c r="L70" s="300"/>
      <c r="M70" s="45"/>
      <c r="N70" s="45"/>
      <c r="O70" s="178">
        <f t="shared" si="1"/>
        <v>900</v>
      </c>
      <c r="P70" s="174">
        <f t="shared" si="2"/>
        <v>75</v>
      </c>
      <c r="Q70" s="174">
        <f t="shared" ref="Q70:Q133" si="10">ROUND(IF(O70&gt;1046,93,IF(O70&gt;900,((-0.1787671*O70)+279.990411),IF(O70&gt;665,((-0.3442553*O70)+428.9297872),($J$13*O70^5)-($J$14*O70^4)+($J$15*O70^3)-($J$16*O70^2)+($J$17*O70)+$J$18))),2)</f>
        <v>119.1</v>
      </c>
      <c r="S70" s="178">
        <f t="shared" si="5"/>
        <v>900</v>
      </c>
      <c r="T70" s="174">
        <f t="shared" si="3"/>
        <v>156.87</v>
      </c>
      <c r="U70" s="174">
        <f t="shared" si="4"/>
        <v>320.79000000000002</v>
      </c>
    </row>
    <row r="71" spans="1:21">
      <c r="A71" s="45"/>
      <c r="B71" s="277"/>
      <c r="C71" s="295"/>
      <c r="D71" s="296"/>
      <c r="E71" s="296"/>
      <c r="F71" s="405"/>
      <c r="G71" s="300"/>
      <c r="H71" s="295"/>
      <c r="I71" s="296"/>
      <c r="J71" s="296"/>
      <c r="K71" s="405"/>
      <c r="L71" s="300"/>
      <c r="M71" s="45"/>
      <c r="N71" s="45"/>
      <c r="O71" s="178">
        <f t="shared" ref="O71:O134" si="11">O70+10</f>
        <v>910</v>
      </c>
      <c r="P71" s="174">
        <f t="shared" si="2"/>
        <v>75</v>
      </c>
      <c r="Q71" s="174">
        <f t="shared" si="10"/>
        <v>117.31</v>
      </c>
      <c r="S71" s="178">
        <f t="shared" si="5"/>
        <v>910</v>
      </c>
      <c r="T71" s="174">
        <f t="shared" si="3"/>
        <v>153.47999999999999</v>
      </c>
      <c r="U71" s="174">
        <f t="shared" si="4"/>
        <v>316.18</v>
      </c>
    </row>
    <row r="72" spans="1:21">
      <c r="A72" s="45"/>
      <c r="B72" s="277"/>
      <c r="C72" s="295"/>
      <c r="D72" s="296"/>
      <c r="E72" s="296"/>
      <c r="F72" s="405"/>
      <c r="G72" s="300"/>
      <c r="H72" s="295"/>
      <c r="I72" s="296"/>
      <c r="J72" s="296"/>
      <c r="K72" s="405"/>
      <c r="L72" s="300"/>
      <c r="M72" s="45"/>
      <c r="N72" s="45"/>
      <c r="O72" s="178">
        <f t="shared" si="11"/>
        <v>920</v>
      </c>
      <c r="P72" s="174">
        <f t="shared" ref="P72:P120" si="12">ROUND(IF(O72&gt;770,75,($D$13*O72^5)-($D$14*O72^4)+($D$15*O72^3)-($D$16*O72^2)-($D$17*O72)+$D$18),2)</f>
        <v>75</v>
      </c>
      <c r="Q72" s="174">
        <f t="shared" si="10"/>
        <v>115.52</v>
      </c>
      <c r="S72" s="178">
        <f t="shared" si="5"/>
        <v>920</v>
      </c>
      <c r="T72" s="174">
        <f t="shared" si="3"/>
        <v>150.13</v>
      </c>
      <c r="U72" s="174">
        <f t="shared" si="4"/>
        <v>311.62</v>
      </c>
    </row>
    <row r="73" spans="1:21">
      <c r="A73" s="45"/>
      <c r="B73" s="277"/>
      <c r="C73" s="295"/>
      <c r="D73" s="296"/>
      <c r="E73" s="296"/>
      <c r="F73" s="405"/>
      <c r="G73" s="300"/>
      <c r="H73" s="295"/>
      <c r="I73" s="296"/>
      <c r="J73" s="296"/>
      <c r="K73" s="405"/>
      <c r="L73" s="300"/>
      <c r="M73" s="45"/>
      <c r="N73" s="45"/>
      <c r="O73" s="178">
        <f t="shared" si="11"/>
        <v>930</v>
      </c>
      <c r="P73" s="174">
        <f t="shared" si="12"/>
        <v>75</v>
      </c>
      <c r="Q73" s="174">
        <f t="shared" si="10"/>
        <v>113.74</v>
      </c>
      <c r="S73" s="178">
        <f t="shared" si="5"/>
        <v>930</v>
      </c>
      <c r="T73" s="174">
        <f t="shared" si="3"/>
        <v>146.83000000000001</v>
      </c>
      <c r="U73" s="174">
        <f t="shared" si="4"/>
        <v>307.11</v>
      </c>
    </row>
    <row r="74" spans="1:21">
      <c r="A74" s="45"/>
      <c r="B74" s="277"/>
      <c r="C74" s="295"/>
      <c r="D74" s="296"/>
      <c r="E74" s="296"/>
      <c r="F74" s="405"/>
      <c r="G74" s="300"/>
      <c r="H74" s="295"/>
      <c r="I74" s="296"/>
      <c r="J74" s="296"/>
      <c r="K74" s="405"/>
      <c r="L74" s="300"/>
      <c r="M74" s="45"/>
      <c r="N74" s="45"/>
      <c r="O74" s="178">
        <f t="shared" si="11"/>
        <v>940</v>
      </c>
      <c r="P74" s="174">
        <f t="shared" si="12"/>
        <v>75</v>
      </c>
      <c r="Q74" s="174">
        <f t="shared" si="10"/>
        <v>111.95</v>
      </c>
      <c r="S74" s="178">
        <f t="shared" si="5"/>
        <v>940</v>
      </c>
      <c r="T74" s="174">
        <f t="shared" si="3"/>
        <v>143.58000000000001</v>
      </c>
      <c r="U74" s="174">
        <f t="shared" si="4"/>
        <v>302.64</v>
      </c>
    </row>
    <row r="75" spans="1:21">
      <c r="A75" s="45"/>
      <c r="B75" s="277"/>
      <c r="C75" s="295"/>
      <c r="D75" s="296"/>
      <c r="E75" s="296"/>
      <c r="F75" s="405"/>
      <c r="G75" s="300"/>
      <c r="H75" s="295"/>
      <c r="I75" s="296"/>
      <c r="J75" s="296"/>
      <c r="K75" s="405"/>
      <c r="L75" s="300"/>
      <c r="M75" s="45"/>
      <c r="N75" s="45"/>
      <c r="O75" s="178">
        <f t="shared" si="11"/>
        <v>950</v>
      </c>
      <c r="P75" s="174">
        <f t="shared" si="12"/>
        <v>75</v>
      </c>
      <c r="Q75" s="174">
        <f t="shared" si="10"/>
        <v>110.16</v>
      </c>
      <c r="S75" s="178">
        <f t="shared" si="5"/>
        <v>950</v>
      </c>
      <c r="T75" s="174">
        <f t="shared" si="3"/>
        <v>140.38</v>
      </c>
      <c r="U75" s="174">
        <f t="shared" si="4"/>
        <v>298.22000000000003</v>
      </c>
    </row>
    <row r="76" spans="1:21">
      <c r="A76" s="45"/>
      <c r="B76" s="45"/>
      <c r="C76" s="45"/>
      <c r="D76" s="45"/>
      <c r="E76" s="45"/>
      <c r="F76" s="45"/>
      <c r="G76" s="300"/>
      <c r="H76" s="45"/>
      <c r="I76" s="45"/>
      <c r="J76" s="45"/>
      <c r="K76" s="45"/>
      <c r="L76" s="300"/>
      <c r="M76" s="45"/>
      <c r="N76" s="45"/>
      <c r="O76" s="178">
        <f t="shared" si="11"/>
        <v>960</v>
      </c>
      <c r="P76" s="174">
        <f t="shared" si="12"/>
        <v>75</v>
      </c>
      <c r="Q76" s="174">
        <f t="shared" si="10"/>
        <v>108.37</v>
      </c>
      <c r="S76" s="178">
        <f t="shared" si="5"/>
        <v>960</v>
      </c>
      <c r="T76" s="174">
        <f t="shared" si="3"/>
        <v>137.21</v>
      </c>
      <c r="U76" s="174">
        <f t="shared" si="4"/>
        <v>293.83999999999997</v>
      </c>
    </row>
    <row r="77" spans="1:21">
      <c r="O77" s="178">
        <f t="shared" si="11"/>
        <v>970</v>
      </c>
      <c r="P77" s="174">
        <f t="shared" si="12"/>
        <v>75</v>
      </c>
      <c r="Q77" s="174">
        <f t="shared" si="10"/>
        <v>106.59</v>
      </c>
      <c r="S77" s="178">
        <f t="shared" si="5"/>
        <v>970</v>
      </c>
      <c r="T77" s="174">
        <f t="shared" si="3"/>
        <v>134.1</v>
      </c>
      <c r="U77" s="174">
        <f t="shared" si="4"/>
        <v>289.5</v>
      </c>
    </row>
    <row r="78" spans="1:21">
      <c r="O78" s="178">
        <f t="shared" si="11"/>
        <v>980</v>
      </c>
      <c r="P78" s="174">
        <f t="shared" si="12"/>
        <v>75</v>
      </c>
      <c r="Q78" s="174">
        <f t="shared" si="10"/>
        <v>104.8</v>
      </c>
      <c r="S78" s="178">
        <f t="shared" si="5"/>
        <v>980</v>
      </c>
      <c r="T78" s="174">
        <f t="shared" si="3"/>
        <v>131.03</v>
      </c>
      <c r="U78" s="174">
        <f t="shared" si="4"/>
        <v>285.2</v>
      </c>
    </row>
    <row r="79" spans="1:21">
      <c r="C79" s="135" t="s">
        <v>77</v>
      </c>
      <c r="O79" s="178">
        <f t="shared" si="11"/>
        <v>990</v>
      </c>
      <c r="P79" s="174">
        <f t="shared" si="12"/>
        <v>75</v>
      </c>
      <c r="Q79" s="174">
        <f t="shared" si="10"/>
        <v>103.01</v>
      </c>
      <c r="S79" s="178">
        <f t="shared" si="5"/>
        <v>990</v>
      </c>
      <c r="T79" s="174">
        <f t="shared" si="3"/>
        <v>128</v>
      </c>
      <c r="U79" s="174">
        <f t="shared" si="4"/>
        <v>280.93</v>
      </c>
    </row>
    <row r="80" spans="1:21">
      <c r="C80" s="186" t="e">
        <f>#REF!</f>
        <v>#REF!</v>
      </c>
      <c r="O80" s="178">
        <f t="shared" si="11"/>
        <v>1000</v>
      </c>
      <c r="P80" s="174">
        <f t="shared" si="12"/>
        <v>75</v>
      </c>
      <c r="Q80" s="174">
        <f t="shared" si="10"/>
        <v>101.22</v>
      </c>
      <c r="S80" s="178">
        <f t="shared" si="5"/>
        <v>1000</v>
      </c>
      <c r="T80" s="174">
        <f t="shared" si="3"/>
        <v>125</v>
      </c>
      <c r="U80" s="174">
        <f t="shared" si="4"/>
        <v>276.7</v>
      </c>
    </row>
    <row r="81" spans="3:21">
      <c r="C81" s="186" t="e">
        <f>#REF!</f>
        <v>#REF!</v>
      </c>
      <c r="O81" s="178">
        <f t="shared" si="11"/>
        <v>1010</v>
      </c>
      <c r="P81" s="174">
        <f t="shared" si="12"/>
        <v>75</v>
      </c>
      <c r="Q81" s="174">
        <f t="shared" si="10"/>
        <v>99.44</v>
      </c>
      <c r="S81" s="178">
        <f t="shared" si="5"/>
        <v>1010</v>
      </c>
      <c r="T81" s="174">
        <f t="shared" si="3"/>
        <v>123.2</v>
      </c>
      <c r="U81" s="174">
        <f t="shared" si="4"/>
        <v>272.5</v>
      </c>
    </row>
    <row r="82" spans="3:21">
      <c r="C82" s="186" t="e">
        <f>#REF!</f>
        <v>#REF!</v>
      </c>
      <c r="O82" s="178">
        <f t="shared" si="11"/>
        <v>1020</v>
      </c>
      <c r="P82" s="174">
        <f t="shared" si="12"/>
        <v>75</v>
      </c>
      <c r="Q82" s="174">
        <f t="shared" si="10"/>
        <v>97.65</v>
      </c>
      <c r="S82" s="178">
        <f t="shared" si="5"/>
        <v>1020</v>
      </c>
      <c r="T82" s="174">
        <f t="shared" si="3"/>
        <v>121.4</v>
      </c>
      <c r="U82" s="174">
        <f t="shared" si="4"/>
        <v>268.33</v>
      </c>
    </row>
    <row r="83" spans="3:21">
      <c r="C83" s="186" t="e">
        <f>#REF!</f>
        <v>#REF!</v>
      </c>
      <c r="O83" s="178">
        <f t="shared" si="11"/>
        <v>1030</v>
      </c>
      <c r="P83" s="174">
        <f t="shared" si="12"/>
        <v>75</v>
      </c>
      <c r="Q83" s="174">
        <f t="shared" si="10"/>
        <v>95.86</v>
      </c>
      <c r="S83" s="178">
        <f t="shared" si="5"/>
        <v>1030</v>
      </c>
      <c r="T83" s="174">
        <f t="shared" si="3"/>
        <v>119.6</v>
      </c>
      <c r="U83" s="174">
        <f t="shared" si="4"/>
        <v>264.2</v>
      </c>
    </row>
    <row r="84" spans="3:21">
      <c r="C84" s="134"/>
      <c r="O84" s="178">
        <f t="shared" si="11"/>
        <v>1040</v>
      </c>
      <c r="P84" s="174">
        <f t="shared" si="12"/>
        <v>75</v>
      </c>
      <c r="Q84" s="174">
        <f t="shared" si="10"/>
        <v>94.07</v>
      </c>
      <c r="S84" s="178">
        <f t="shared" si="5"/>
        <v>1040</v>
      </c>
      <c r="T84" s="174">
        <f t="shared" si="3"/>
        <v>117.8</v>
      </c>
      <c r="U84" s="174">
        <f t="shared" si="4"/>
        <v>260.08999999999997</v>
      </c>
    </row>
    <row r="85" spans="3:21">
      <c r="C85" s="186" t="e">
        <f>#REF!</f>
        <v>#REF!</v>
      </c>
      <c r="O85" s="178">
        <f t="shared" si="11"/>
        <v>1050</v>
      </c>
      <c r="P85" s="174">
        <f t="shared" si="12"/>
        <v>75</v>
      </c>
      <c r="Q85" s="174">
        <f t="shared" si="10"/>
        <v>93</v>
      </c>
      <c r="S85" s="178">
        <f t="shared" si="5"/>
        <v>1050</v>
      </c>
      <c r="T85" s="174">
        <f t="shared" ref="T85:T120" si="13">ROUND(IF(S85&gt;1100,107,IF(S85&gt;990,((-0.18*S85)+305),($D$4*S85^5)-($D$5*S85^4)+($D$6*S85^3)-($D$7*S85^2)-($D$8*S85)+$D$9)),2)</f>
        <v>116</v>
      </c>
      <c r="U85" s="174">
        <f t="shared" ref="U85:U148" si="14">ROUND(IF(S85&gt;1460,133,($J$4*S85^5)-($J$5*S85^4)+($J$6*S85^3)-($J$7*S85^2)+($J$8*S85)+$J$9),2)</f>
        <v>256.01</v>
      </c>
    </row>
    <row r="86" spans="3:21">
      <c r="O86" s="178">
        <f t="shared" si="11"/>
        <v>1060</v>
      </c>
      <c r="P86" s="174">
        <f t="shared" si="12"/>
        <v>75</v>
      </c>
      <c r="Q86" s="174">
        <f t="shared" si="10"/>
        <v>93</v>
      </c>
      <c r="S86" s="178">
        <f t="shared" ref="S86:S149" si="15">S85+10</f>
        <v>1060</v>
      </c>
      <c r="T86" s="174">
        <f t="shared" si="13"/>
        <v>114.2</v>
      </c>
      <c r="U86" s="174">
        <f t="shared" si="14"/>
        <v>251.96</v>
      </c>
    </row>
    <row r="87" spans="3:21">
      <c r="C87" s="1186" t="s">
        <v>82</v>
      </c>
      <c r="D87" s="1187"/>
      <c r="F87" s="179" t="s">
        <v>87</v>
      </c>
      <c r="O87" s="178">
        <f t="shared" si="11"/>
        <v>1070</v>
      </c>
      <c r="P87" s="174">
        <f t="shared" si="12"/>
        <v>75</v>
      </c>
      <c r="Q87" s="174">
        <f t="shared" si="10"/>
        <v>93</v>
      </c>
      <c r="S87" s="178">
        <f t="shared" si="15"/>
        <v>1070</v>
      </c>
      <c r="T87" s="174">
        <f t="shared" si="13"/>
        <v>112.4</v>
      </c>
      <c r="U87" s="174">
        <f t="shared" si="14"/>
        <v>247.94</v>
      </c>
    </row>
    <row r="88" spans="3:21">
      <c r="C88" s="122" t="s">
        <v>5</v>
      </c>
      <c r="D88" s="124" t="s">
        <v>6</v>
      </c>
      <c r="F88" s="143" t="s">
        <v>88</v>
      </c>
      <c r="O88" s="178">
        <f t="shared" si="11"/>
        <v>1080</v>
      </c>
      <c r="P88" s="174">
        <f t="shared" si="12"/>
        <v>75</v>
      </c>
      <c r="Q88" s="174">
        <f t="shared" si="10"/>
        <v>93</v>
      </c>
      <c r="S88" s="178">
        <f t="shared" si="15"/>
        <v>1080</v>
      </c>
      <c r="T88" s="174">
        <f t="shared" si="13"/>
        <v>110.6</v>
      </c>
      <c r="U88" s="174">
        <f t="shared" si="14"/>
        <v>243.94</v>
      </c>
    </row>
    <row r="89" spans="3:21" ht="15.75" thickBot="1">
      <c r="C89" s="123" t="s">
        <v>83</v>
      </c>
      <c r="D89" s="125" t="s">
        <v>83</v>
      </c>
      <c r="F89" s="143" t="s">
        <v>89</v>
      </c>
      <c r="O89" s="178">
        <f t="shared" si="11"/>
        <v>1090</v>
      </c>
      <c r="P89" s="174">
        <f t="shared" si="12"/>
        <v>75</v>
      </c>
      <c r="Q89" s="174">
        <f t="shared" si="10"/>
        <v>93</v>
      </c>
      <c r="S89" s="178">
        <f t="shared" si="15"/>
        <v>1090</v>
      </c>
      <c r="T89" s="174">
        <f t="shared" si="13"/>
        <v>108.8</v>
      </c>
      <c r="U89" s="174">
        <f t="shared" si="14"/>
        <v>239.97</v>
      </c>
    </row>
    <row r="90" spans="3:21">
      <c r="C90" s="187" t="e">
        <f>IF(#REF!=0,100,MAX(#REF!,#REF!,#REF!,#REF!))</f>
        <v>#REF!</v>
      </c>
      <c r="D90" s="188" t="e">
        <f>IF(#REF!=0,100,MAX(#REF!,#REF!,#REF!,#REF!))</f>
        <v>#REF!</v>
      </c>
      <c r="F90" s="143" t="e">
        <f>IF(C95&gt;1400,200,100)</f>
        <v>#REF!</v>
      </c>
      <c r="O90" s="178">
        <f t="shared" si="11"/>
        <v>1100</v>
      </c>
      <c r="P90" s="174">
        <f t="shared" si="12"/>
        <v>75</v>
      </c>
      <c r="Q90" s="174">
        <f t="shared" si="10"/>
        <v>93</v>
      </c>
      <c r="S90" s="178">
        <f t="shared" si="15"/>
        <v>1100</v>
      </c>
      <c r="T90" s="174">
        <f t="shared" si="13"/>
        <v>107</v>
      </c>
      <c r="U90" s="174">
        <f t="shared" si="14"/>
        <v>236.02</v>
      </c>
    </row>
    <row r="91" spans="3:21">
      <c r="G91" s="133" t="s">
        <v>5</v>
      </c>
      <c r="H91" s="133" t="s">
        <v>6</v>
      </c>
      <c r="O91" s="178">
        <f t="shared" si="11"/>
        <v>1110</v>
      </c>
      <c r="P91" s="174">
        <f t="shared" si="12"/>
        <v>75</v>
      </c>
      <c r="Q91" s="174">
        <f t="shared" si="10"/>
        <v>93</v>
      </c>
      <c r="S91" s="178">
        <f t="shared" si="15"/>
        <v>1110</v>
      </c>
      <c r="T91" s="174">
        <f t="shared" si="13"/>
        <v>107</v>
      </c>
      <c r="U91" s="174">
        <f t="shared" si="14"/>
        <v>232.1</v>
      </c>
    </row>
    <row r="92" spans="3:21">
      <c r="C92" s="1188" t="s">
        <v>84</v>
      </c>
      <c r="D92" s="1189"/>
      <c r="E92" s="1190"/>
      <c r="G92" s="132" t="e">
        <f>#REF!</f>
        <v>#REF!</v>
      </c>
      <c r="H92" s="132" t="e">
        <f>#REF!</f>
        <v>#REF!</v>
      </c>
      <c r="O92" s="178">
        <f t="shared" si="11"/>
        <v>1120</v>
      </c>
      <c r="P92" s="174">
        <f t="shared" si="12"/>
        <v>75</v>
      </c>
      <c r="Q92" s="174">
        <f t="shared" si="10"/>
        <v>93</v>
      </c>
      <c r="S92" s="178">
        <f t="shared" si="15"/>
        <v>1120</v>
      </c>
      <c r="T92" s="174">
        <f t="shared" si="13"/>
        <v>107</v>
      </c>
      <c r="U92" s="174">
        <f t="shared" si="14"/>
        <v>228.21</v>
      </c>
    </row>
    <row r="93" spans="3:21">
      <c r="C93" s="189" t="s">
        <v>5</v>
      </c>
      <c r="D93" s="189" t="s">
        <v>6</v>
      </c>
      <c r="E93" s="190" t="s">
        <v>5</v>
      </c>
      <c r="G93" s="132" t="e">
        <f>#REF!</f>
        <v>#REF!</v>
      </c>
      <c r="H93" s="132" t="e">
        <f>#REF!</f>
        <v>#REF!</v>
      </c>
      <c r="O93" s="178">
        <f t="shared" si="11"/>
        <v>1130</v>
      </c>
      <c r="P93" s="174">
        <f t="shared" si="12"/>
        <v>75</v>
      </c>
      <c r="Q93" s="174">
        <f t="shared" si="10"/>
        <v>93</v>
      </c>
      <c r="S93" s="178">
        <f t="shared" si="15"/>
        <v>1130</v>
      </c>
      <c r="T93" s="174">
        <f t="shared" si="13"/>
        <v>107</v>
      </c>
      <c r="U93" s="174">
        <f t="shared" si="14"/>
        <v>224.35</v>
      </c>
    </row>
    <row r="94" spans="3:21" ht="15.75" thickBot="1">
      <c r="C94" s="119" t="s">
        <v>83</v>
      </c>
      <c r="D94" s="119" t="s">
        <v>83</v>
      </c>
      <c r="E94" s="191" t="s">
        <v>85</v>
      </c>
      <c r="G94" s="132" t="e">
        <f>#REF!</f>
        <v>#REF!</v>
      </c>
      <c r="H94" s="132" t="e">
        <f>#REF!</f>
        <v>#REF!</v>
      </c>
      <c r="O94" s="178">
        <f t="shared" si="11"/>
        <v>1140</v>
      </c>
      <c r="P94" s="174">
        <f t="shared" si="12"/>
        <v>75</v>
      </c>
      <c r="Q94" s="174">
        <f t="shared" si="10"/>
        <v>93</v>
      </c>
      <c r="S94" s="178">
        <f t="shared" si="15"/>
        <v>1140</v>
      </c>
      <c r="T94" s="174">
        <f t="shared" si="13"/>
        <v>107</v>
      </c>
      <c r="U94" s="174">
        <f t="shared" si="14"/>
        <v>220.51</v>
      </c>
    </row>
    <row r="95" spans="3:21">
      <c r="C95" s="118" t="e">
        <f>IF('Warrant 1'!AN18=1,IF(C90&gt;1000,CEILING(C90,200),1000),IF(C90&gt;1400,CEILING(C90,200),1400))</f>
        <v>#REF!</v>
      </c>
      <c r="D95" s="118" t="e">
        <f>IF('Warrant 1'!AN18=1,IF(D90&gt;400,CEILING(D90+100,100),400),IF(D90&gt;500,CEILING(D90+100,100),500))</f>
        <v>#REF!</v>
      </c>
      <c r="E95" s="126">
        <f>IF('Warrant 1'!AN18=1,200,300)</f>
        <v>300</v>
      </c>
      <c r="G95" s="132" t="e">
        <f>#REF!</f>
        <v>#REF!</v>
      </c>
      <c r="H95" s="132" t="e">
        <f>#REF!</f>
        <v>#REF!</v>
      </c>
      <c r="O95" s="178">
        <f t="shared" si="11"/>
        <v>1150</v>
      </c>
      <c r="P95" s="174">
        <f t="shared" si="12"/>
        <v>75</v>
      </c>
      <c r="Q95" s="174">
        <f t="shared" si="10"/>
        <v>93</v>
      </c>
      <c r="S95" s="178">
        <f t="shared" si="15"/>
        <v>1150</v>
      </c>
      <c r="T95" s="174">
        <f t="shared" si="13"/>
        <v>107</v>
      </c>
      <c r="U95" s="174">
        <f t="shared" si="14"/>
        <v>216.7</v>
      </c>
    </row>
    <row r="96" spans="3:21">
      <c r="O96" s="178">
        <f t="shared" si="11"/>
        <v>1160</v>
      </c>
      <c r="P96" s="174">
        <f t="shared" si="12"/>
        <v>75</v>
      </c>
      <c r="Q96" s="174">
        <f t="shared" si="10"/>
        <v>93</v>
      </c>
      <c r="S96" s="178">
        <f t="shared" si="15"/>
        <v>1160</v>
      </c>
      <c r="T96" s="174">
        <f t="shared" si="13"/>
        <v>107</v>
      </c>
      <c r="U96" s="174">
        <f t="shared" si="14"/>
        <v>212.92</v>
      </c>
    </row>
    <row r="97" spans="3:21">
      <c r="C97" s="136">
        <f>E95</f>
        <v>300</v>
      </c>
      <c r="D97" s="136" t="e">
        <f>C95</f>
        <v>#REF!</v>
      </c>
      <c r="E97">
        <f>IF('Warrant 1'!AN18=1,75,107)</f>
        <v>107</v>
      </c>
      <c r="F97">
        <f>IF('Warrant 1'!AN18=1,75,107)</f>
        <v>107</v>
      </c>
      <c r="O97" s="178">
        <f t="shared" si="11"/>
        <v>1170</v>
      </c>
      <c r="P97" s="174">
        <f t="shared" si="12"/>
        <v>75</v>
      </c>
      <c r="Q97" s="174">
        <f t="shared" si="10"/>
        <v>93</v>
      </c>
      <c r="S97" s="178">
        <f t="shared" si="15"/>
        <v>1170</v>
      </c>
      <c r="T97" s="174">
        <f t="shared" si="13"/>
        <v>107</v>
      </c>
      <c r="U97" s="174">
        <f t="shared" si="14"/>
        <v>209.18</v>
      </c>
    </row>
    <row r="98" spans="3:21">
      <c r="C98" s="137" t="str">
        <f>IF('Warrant 1'!AN18=1,"75 vph lower threshold","107 vph lower threshold")</f>
        <v>107 vph lower threshold</v>
      </c>
      <c r="O98" s="178">
        <f t="shared" si="11"/>
        <v>1180</v>
      </c>
      <c r="P98" s="174">
        <f t="shared" si="12"/>
        <v>75</v>
      </c>
      <c r="Q98" s="174">
        <f t="shared" si="10"/>
        <v>93</v>
      </c>
      <c r="S98" s="178">
        <f t="shared" si="15"/>
        <v>1180</v>
      </c>
      <c r="T98" s="174">
        <f t="shared" si="13"/>
        <v>107</v>
      </c>
      <c r="U98" s="174">
        <f t="shared" si="14"/>
        <v>205.47</v>
      </c>
    </row>
    <row r="99" spans="3:21">
      <c r="O99" s="178">
        <f t="shared" si="11"/>
        <v>1190</v>
      </c>
      <c r="P99" s="174">
        <f t="shared" si="12"/>
        <v>75</v>
      </c>
      <c r="Q99" s="174">
        <f t="shared" si="10"/>
        <v>93</v>
      </c>
      <c r="S99" s="178">
        <f t="shared" si="15"/>
        <v>1190</v>
      </c>
      <c r="T99" s="174">
        <f t="shared" si="13"/>
        <v>107</v>
      </c>
      <c r="U99" s="174">
        <f t="shared" si="14"/>
        <v>201.79</v>
      </c>
    </row>
    <row r="100" spans="3:21">
      <c r="O100" s="178">
        <f t="shared" si="11"/>
        <v>1200</v>
      </c>
      <c r="P100" s="174">
        <f t="shared" si="12"/>
        <v>75</v>
      </c>
      <c r="Q100" s="174">
        <f t="shared" si="10"/>
        <v>93</v>
      </c>
      <c r="S100" s="178">
        <f t="shared" si="15"/>
        <v>1200</v>
      </c>
      <c r="T100" s="174">
        <f t="shared" si="13"/>
        <v>107</v>
      </c>
      <c r="U100" s="174">
        <f t="shared" si="14"/>
        <v>198.15</v>
      </c>
    </row>
    <row r="101" spans="3:21">
      <c r="O101" s="178">
        <f t="shared" si="11"/>
        <v>1210</v>
      </c>
      <c r="P101" s="174">
        <f t="shared" si="12"/>
        <v>75</v>
      </c>
      <c r="Q101" s="174">
        <f t="shared" si="10"/>
        <v>93</v>
      </c>
      <c r="S101" s="178">
        <f t="shared" si="15"/>
        <v>1210</v>
      </c>
      <c r="T101" s="174">
        <f t="shared" si="13"/>
        <v>107</v>
      </c>
      <c r="U101" s="174">
        <f t="shared" si="14"/>
        <v>194.55</v>
      </c>
    </row>
    <row r="102" spans="3:21">
      <c r="C102" t="str">
        <f>IF('Warrant 1'!AN18=1,"70% Curve","100% Curve")</f>
        <v>100% Curve</v>
      </c>
      <c r="O102" s="178">
        <f t="shared" si="11"/>
        <v>1220</v>
      </c>
      <c r="P102" s="174">
        <f t="shared" si="12"/>
        <v>75</v>
      </c>
      <c r="Q102" s="174">
        <f t="shared" si="10"/>
        <v>93</v>
      </c>
      <c r="S102" s="178">
        <f t="shared" si="15"/>
        <v>1220</v>
      </c>
      <c r="T102" s="174">
        <f t="shared" si="13"/>
        <v>107</v>
      </c>
      <c r="U102" s="174">
        <f t="shared" si="14"/>
        <v>191</v>
      </c>
    </row>
    <row r="103" spans="3:21">
      <c r="O103" s="178">
        <f t="shared" si="11"/>
        <v>1230</v>
      </c>
      <c r="P103" s="174">
        <f t="shared" si="12"/>
        <v>75</v>
      </c>
      <c r="Q103" s="174">
        <f t="shared" si="10"/>
        <v>93</v>
      </c>
      <c r="S103" s="178">
        <f t="shared" si="15"/>
        <v>1230</v>
      </c>
      <c r="T103" s="174">
        <f t="shared" si="13"/>
        <v>107</v>
      </c>
      <c r="U103" s="174">
        <f t="shared" si="14"/>
        <v>187.49</v>
      </c>
    </row>
    <row r="104" spans="3:21">
      <c r="O104" s="178">
        <f t="shared" si="11"/>
        <v>1240</v>
      </c>
      <c r="P104" s="174">
        <f t="shared" si="12"/>
        <v>75</v>
      </c>
      <c r="Q104" s="174">
        <f t="shared" si="10"/>
        <v>93</v>
      </c>
      <c r="S104" s="178">
        <f t="shared" si="15"/>
        <v>1240</v>
      </c>
      <c r="T104" s="174">
        <f t="shared" si="13"/>
        <v>107</v>
      </c>
      <c r="U104" s="174">
        <f t="shared" si="14"/>
        <v>184.04</v>
      </c>
    </row>
    <row r="105" spans="3:21">
      <c r="O105" s="178">
        <f t="shared" si="11"/>
        <v>1250</v>
      </c>
      <c r="P105" s="174">
        <f t="shared" si="12"/>
        <v>75</v>
      </c>
      <c r="Q105" s="174">
        <f t="shared" si="10"/>
        <v>93</v>
      </c>
      <c r="S105" s="178">
        <f t="shared" si="15"/>
        <v>1250</v>
      </c>
      <c r="T105" s="174">
        <f t="shared" si="13"/>
        <v>107</v>
      </c>
      <c r="U105" s="174">
        <f t="shared" si="14"/>
        <v>180.64</v>
      </c>
    </row>
    <row r="106" spans="3:21">
      <c r="O106" s="178">
        <f t="shared" si="11"/>
        <v>1260</v>
      </c>
      <c r="P106" s="174">
        <f t="shared" si="12"/>
        <v>75</v>
      </c>
      <c r="Q106" s="174">
        <f t="shared" si="10"/>
        <v>93</v>
      </c>
      <c r="S106" s="178">
        <f t="shared" si="15"/>
        <v>1260</v>
      </c>
      <c r="T106" s="174">
        <f t="shared" si="13"/>
        <v>107</v>
      </c>
      <c r="U106" s="174">
        <f t="shared" si="14"/>
        <v>177.3</v>
      </c>
    </row>
    <row r="107" spans="3:21">
      <c r="O107" s="178">
        <f t="shared" si="11"/>
        <v>1270</v>
      </c>
      <c r="P107" s="174">
        <f t="shared" si="12"/>
        <v>75</v>
      </c>
      <c r="Q107" s="174">
        <f t="shared" si="10"/>
        <v>93</v>
      </c>
      <c r="S107" s="178">
        <f t="shared" si="15"/>
        <v>1270</v>
      </c>
      <c r="T107" s="174">
        <f t="shared" si="13"/>
        <v>107</v>
      </c>
      <c r="U107" s="174">
        <f t="shared" si="14"/>
        <v>174.02</v>
      </c>
    </row>
    <row r="108" spans="3:21">
      <c r="C108" s="1186" t="s">
        <v>82</v>
      </c>
      <c r="D108" s="1187"/>
      <c r="F108" s="179" t="s">
        <v>87</v>
      </c>
      <c r="O108" s="178">
        <f t="shared" si="11"/>
        <v>1280</v>
      </c>
      <c r="P108" s="174">
        <f t="shared" si="12"/>
        <v>75</v>
      </c>
      <c r="Q108" s="174">
        <f t="shared" si="10"/>
        <v>93</v>
      </c>
      <c r="S108" s="178">
        <f t="shared" si="15"/>
        <v>1280</v>
      </c>
      <c r="T108" s="174">
        <f t="shared" si="13"/>
        <v>107</v>
      </c>
      <c r="U108" s="174">
        <f t="shared" si="14"/>
        <v>170.82</v>
      </c>
    </row>
    <row r="109" spans="3:21">
      <c r="C109" s="122" t="s">
        <v>5</v>
      </c>
      <c r="D109" s="124" t="s">
        <v>6</v>
      </c>
      <c r="F109" s="143" t="s">
        <v>88</v>
      </c>
      <c r="O109" s="178">
        <f t="shared" si="11"/>
        <v>1290</v>
      </c>
      <c r="P109" s="174">
        <f t="shared" si="12"/>
        <v>75</v>
      </c>
      <c r="Q109" s="174">
        <f t="shared" si="10"/>
        <v>93</v>
      </c>
      <c r="S109" s="178">
        <f t="shared" si="15"/>
        <v>1290</v>
      </c>
      <c r="T109" s="174">
        <f t="shared" si="13"/>
        <v>107</v>
      </c>
      <c r="U109" s="174">
        <f t="shared" si="14"/>
        <v>167.68</v>
      </c>
    </row>
    <row r="110" spans="3:21" ht="15.75" thickBot="1">
      <c r="C110" s="123" t="s">
        <v>83</v>
      </c>
      <c r="D110" s="125" t="s">
        <v>83</v>
      </c>
      <c r="F110" s="143" t="s">
        <v>89</v>
      </c>
      <c r="O110" s="178">
        <f t="shared" si="11"/>
        <v>1300</v>
      </c>
      <c r="P110" s="174">
        <f t="shared" si="12"/>
        <v>75</v>
      </c>
      <c r="Q110" s="174">
        <f t="shared" si="10"/>
        <v>93</v>
      </c>
      <c r="S110" s="178">
        <f t="shared" si="15"/>
        <v>1300</v>
      </c>
      <c r="T110" s="174">
        <f t="shared" si="13"/>
        <v>107</v>
      </c>
      <c r="U110" s="174">
        <f t="shared" si="14"/>
        <v>164.63</v>
      </c>
    </row>
    <row r="111" spans="3:21">
      <c r="C111" s="187" t="e">
        <f>IF(#REF!=0,100,#REF!)</f>
        <v>#REF!</v>
      </c>
      <c r="D111" s="188" t="e">
        <f>IF(#REF!=0,100,#REF!)</f>
        <v>#REF!</v>
      </c>
      <c r="F111" s="143" t="e">
        <f>IF(C116&gt;1800,200,100)</f>
        <v>#REF!</v>
      </c>
      <c r="O111" s="178">
        <f t="shared" si="11"/>
        <v>1310</v>
      </c>
      <c r="P111" s="174">
        <f t="shared" si="12"/>
        <v>75</v>
      </c>
      <c r="Q111" s="174">
        <f t="shared" si="10"/>
        <v>93</v>
      </c>
      <c r="S111" s="178">
        <f t="shared" si="15"/>
        <v>1310</v>
      </c>
      <c r="T111" s="174">
        <f t="shared" si="13"/>
        <v>107</v>
      </c>
      <c r="U111" s="174">
        <f t="shared" si="14"/>
        <v>161.66999999999999</v>
      </c>
    </row>
    <row r="112" spans="3:21">
      <c r="G112" s="133" t="s">
        <v>5</v>
      </c>
      <c r="H112" s="133" t="s">
        <v>6</v>
      </c>
      <c r="O112" s="178">
        <f t="shared" si="11"/>
        <v>1320</v>
      </c>
      <c r="P112" s="174">
        <f t="shared" si="12"/>
        <v>75</v>
      </c>
      <c r="Q112" s="174">
        <f t="shared" si="10"/>
        <v>93</v>
      </c>
      <c r="S112" s="178">
        <f t="shared" si="15"/>
        <v>1320</v>
      </c>
      <c r="T112" s="174">
        <f t="shared" si="13"/>
        <v>107</v>
      </c>
      <c r="U112" s="174">
        <f t="shared" si="14"/>
        <v>158.79</v>
      </c>
    </row>
    <row r="113" spans="3:21">
      <c r="C113" s="1188" t="s">
        <v>84</v>
      </c>
      <c r="D113" s="1189"/>
      <c r="E113" s="1190"/>
      <c r="G113" s="132" t="e">
        <f>#REF!</f>
        <v>#REF!</v>
      </c>
      <c r="H113" s="132" t="e">
        <f>#REF!</f>
        <v>#REF!</v>
      </c>
      <c r="O113" s="178">
        <f t="shared" si="11"/>
        <v>1330</v>
      </c>
      <c r="P113" s="174">
        <f t="shared" si="12"/>
        <v>75</v>
      </c>
      <c r="Q113" s="174">
        <f t="shared" si="10"/>
        <v>93</v>
      </c>
      <c r="S113" s="178">
        <f t="shared" si="15"/>
        <v>1330</v>
      </c>
      <c r="T113" s="174">
        <f t="shared" si="13"/>
        <v>107</v>
      </c>
      <c r="U113" s="174">
        <f t="shared" si="14"/>
        <v>156.02000000000001</v>
      </c>
    </row>
    <row r="114" spans="3:21">
      <c r="C114" s="189" t="s">
        <v>5</v>
      </c>
      <c r="D114" s="189" t="s">
        <v>6</v>
      </c>
      <c r="E114" s="190" t="s">
        <v>5</v>
      </c>
      <c r="O114" s="178">
        <f t="shared" si="11"/>
        <v>1340</v>
      </c>
      <c r="P114" s="174">
        <f t="shared" si="12"/>
        <v>75</v>
      </c>
      <c r="Q114" s="174">
        <f t="shared" si="10"/>
        <v>93</v>
      </c>
      <c r="S114" s="178">
        <f t="shared" si="15"/>
        <v>1340</v>
      </c>
      <c r="T114" s="174">
        <f t="shared" si="13"/>
        <v>107</v>
      </c>
      <c r="U114" s="174">
        <f t="shared" si="14"/>
        <v>153.36000000000001</v>
      </c>
    </row>
    <row r="115" spans="3:21" ht="15.75" thickBot="1">
      <c r="C115" s="119" t="s">
        <v>83</v>
      </c>
      <c r="D115" s="119" t="s">
        <v>83</v>
      </c>
      <c r="E115" s="191" t="s">
        <v>85</v>
      </c>
      <c r="O115" s="178">
        <f t="shared" si="11"/>
        <v>1350</v>
      </c>
      <c r="P115" s="174">
        <f t="shared" si="12"/>
        <v>75</v>
      </c>
      <c r="Q115" s="174">
        <f t="shared" si="10"/>
        <v>93</v>
      </c>
      <c r="S115" s="178">
        <f t="shared" si="15"/>
        <v>1350</v>
      </c>
      <c r="T115" s="174">
        <f t="shared" si="13"/>
        <v>107</v>
      </c>
      <c r="U115" s="174">
        <f t="shared" si="14"/>
        <v>150.81</v>
      </c>
    </row>
    <row r="116" spans="3:21">
      <c r="C116" s="118" t="e">
        <f>IF('Warrant 1'!AN18=1,IF(C111&gt;1200,CEILING(C111,200),1200),IF(C111&gt;1800,CEILING(C111,200),1800))</f>
        <v>#REF!</v>
      </c>
      <c r="D116" s="118" t="e">
        <f>IF('Warrant 1'!AN18=1,IF(D111&gt;500,CEILING(D111+100,100),500),IF(D111&gt;700,CEILING(D111+100,100),700))</f>
        <v>#REF!</v>
      </c>
      <c r="E116" s="126">
        <f>IF('Warrant 1'!AN18=1,200,300)</f>
        <v>300</v>
      </c>
      <c r="O116" s="178">
        <f t="shared" si="11"/>
        <v>1360</v>
      </c>
      <c r="P116" s="174">
        <f t="shared" si="12"/>
        <v>75</v>
      </c>
      <c r="Q116" s="174">
        <f t="shared" si="10"/>
        <v>93</v>
      </c>
      <c r="S116" s="178">
        <f t="shared" si="15"/>
        <v>1360</v>
      </c>
      <c r="T116" s="174">
        <f t="shared" si="13"/>
        <v>107</v>
      </c>
      <c r="U116" s="174">
        <f t="shared" si="14"/>
        <v>148.38999999999999</v>
      </c>
    </row>
    <row r="117" spans="3:21">
      <c r="O117" s="178">
        <f t="shared" si="11"/>
        <v>1370</v>
      </c>
      <c r="P117" s="174">
        <f t="shared" si="12"/>
        <v>75</v>
      </c>
      <c r="Q117" s="174">
        <f t="shared" si="10"/>
        <v>93</v>
      </c>
      <c r="S117" s="178">
        <f t="shared" si="15"/>
        <v>1370</v>
      </c>
      <c r="T117" s="174">
        <f t="shared" si="13"/>
        <v>107</v>
      </c>
      <c r="U117" s="174">
        <f t="shared" si="14"/>
        <v>146.1</v>
      </c>
    </row>
    <row r="118" spans="3:21">
      <c r="C118" s="136">
        <f>E116</f>
        <v>300</v>
      </c>
      <c r="D118" s="136" t="e">
        <f>C116</f>
        <v>#REF!</v>
      </c>
      <c r="E118">
        <f>IF('Warrant 1'!AN18=1,93,133)</f>
        <v>133</v>
      </c>
      <c r="F118">
        <f>IF('Warrant 1'!AN18=1,93,133)</f>
        <v>133</v>
      </c>
      <c r="O118" s="178">
        <f t="shared" si="11"/>
        <v>1380</v>
      </c>
      <c r="P118" s="174">
        <f t="shared" si="12"/>
        <v>75</v>
      </c>
      <c r="Q118" s="174">
        <f t="shared" si="10"/>
        <v>93</v>
      </c>
      <c r="S118" s="178">
        <f t="shared" si="15"/>
        <v>1380</v>
      </c>
      <c r="T118" s="174">
        <f t="shared" si="13"/>
        <v>107</v>
      </c>
      <c r="U118" s="174">
        <f t="shared" si="14"/>
        <v>143.94999999999999</v>
      </c>
    </row>
    <row r="119" spans="3:21">
      <c r="C119" s="137" t="str">
        <f>IF('Warrant 1'!AN18=1,"93 vph lower threshold","133 vph lower threshold")</f>
        <v>133 vph lower threshold</v>
      </c>
      <c r="O119" s="178">
        <f t="shared" si="11"/>
        <v>1390</v>
      </c>
      <c r="P119" s="174">
        <f t="shared" si="12"/>
        <v>75</v>
      </c>
      <c r="Q119" s="174">
        <f t="shared" si="10"/>
        <v>93</v>
      </c>
      <c r="S119" s="178">
        <f t="shared" si="15"/>
        <v>1390</v>
      </c>
      <c r="T119" s="174">
        <f t="shared" si="13"/>
        <v>107</v>
      </c>
      <c r="U119" s="174">
        <f t="shared" si="14"/>
        <v>141.96</v>
      </c>
    </row>
    <row r="120" spans="3:21">
      <c r="O120" s="178">
        <f t="shared" si="11"/>
        <v>1400</v>
      </c>
      <c r="P120" s="174">
        <f t="shared" si="12"/>
        <v>75</v>
      </c>
      <c r="Q120" s="174">
        <f t="shared" si="10"/>
        <v>93</v>
      </c>
      <c r="S120" s="178">
        <f t="shared" si="15"/>
        <v>1400</v>
      </c>
      <c r="T120" s="174">
        <f t="shared" si="13"/>
        <v>107</v>
      </c>
      <c r="U120" s="174">
        <f t="shared" si="14"/>
        <v>140.12</v>
      </c>
    </row>
    <row r="121" spans="3:21">
      <c r="C121" t="str">
        <f>IF('Warrant 1'!AN18=1,"70% Volume Level","100% Volume Level")</f>
        <v>100% Volume Level</v>
      </c>
      <c r="O121" s="178">
        <f t="shared" si="11"/>
        <v>1410</v>
      </c>
      <c r="P121" s="174"/>
      <c r="Q121" s="174">
        <f t="shared" si="10"/>
        <v>93</v>
      </c>
      <c r="S121" s="178">
        <f t="shared" si="15"/>
        <v>1410</v>
      </c>
      <c r="T121" s="174"/>
      <c r="U121" s="174">
        <f t="shared" si="14"/>
        <v>138.46</v>
      </c>
    </row>
    <row r="122" spans="3:21">
      <c r="O122" s="178">
        <f t="shared" si="11"/>
        <v>1420</v>
      </c>
      <c r="P122" s="174"/>
      <c r="Q122" s="174">
        <f t="shared" si="10"/>
        <v>93</v>
      </c>
      <c r="S122" s="178">
        <f t="shared" si="15"/>
        <v>1420</v>
      </c>
      <c r="T122" s="174"/>
      <c r="U122" s="174">
        <f t="shared" si="14"/>
        <v>136.99</v>
      </c>
    </row>
    <row r="123" spans="3:21">
      <c r="C123" t="str">
        <f>IF('Warrant 1'!AN18=1,"70% Curve","100% Curve")</f>
        <v>100% Curve</v>
      </c>
      <c r="O123" s="178">
        <f t="shared" si="11"/>
        <v>1430</v>
      </c>
      <c r="P123" s="174"/>
      <c r="Q123" s="174">
        <f t="shared" si="10"/>
        <v>93</v>
      </c>
      <c r="S123" s="178">
        <f t="shared" si="15"/>
        <v>1430</v>
      </c>
      <c r="T123" s="174"/>
      <c r="U123" s="174">
        <f t="shared" si="14"/>
        <v>135.71</v>
      </c>
    </row>
    <row r="124" spans="3:21">
      <c r="O124" s="178">
        <f t="shared" si="11"/>
        <v>1440</v>
      </c>
      <c r="P124" s="174"/>
      <c r="Q124" s="174">
        <f t="shared" si="10"/>
        <v>93</v>
      </c>
      <c r="S124" s="178">
        <f t="shared" si="15"/>
        <v>1440</v>
      </c>
      <c r="T124" s="174"/>
      <c r="U124" s="174">
        <f t="shared" si="14"/>
        <v>134.63</v>
      </c>
    </row>
    <row r="125" spans="3:21">
      <c r="O125" s="178">
        <f t="shared" si="11"/>
        <v>1450</v>
      </c>
      <c r="P125" s="174"/>
      <c r="Q125" s="174">
        <f t="shared" si="10"/>
        <v>93</v>
      </c>
      <c r="S125" s="178">
        <f t="shared" si="15"/>
        <v>1450</v>
      </c>
      <c r="T125" s="174"/>
      <c r="U125" s="174">
        <f t="shared" si="14"/>
        <v>133.78</v>
      </c>
    </row>
    <row r="126" spans="3:21">
      <c r="O126" s="178">
        <f t="shared" si="11"/>
        <v>1460</v>
      </c>
      <c r="P126" s="174"/>
      <c r="Q126" s="174">
        <f t="shared" si="10"/>
        <v>93</v>
      </c>
      <c r="S126" s="178">
        <f t="shared" si="15"/>
        <v>1460</v>
      </c>
      <c r="T126" s="174"/>
      <c r="U126" s="174">
        <f t="shared" si="14"/>
        <v>133.16999999999999</v>
      </c>
    </row>
    <row r="127" spans="3:21">
      <c r="O127" s="178">
        <f t="shared" si="11"/>
        <v>1470</v>
      </c>
      <c r="P127" s="174"/>
      <c r="Q127" s="174">
        <f t="shared" si="10"/>
        <v>93</v>
      </c>
      <c r="S127" s="178">
        <f t="shared" si="15"/>
        <v>1470</v>
      </c>
      <c r="T127" s="174"/>
      <c r="U127" s="174">
        <f t="shared" si="14"/>
        <v>133</v>
      </c>
    </row>
    <row r="128" spans="3:21">
      <c r="O128" s="178">
        <f t="shared" si="11"/>
        <v>1480</v>
      </c>
      <c r="P128" s="174"/>
      <c r="Q128" s="174">
        <f t="shared" si="10"/>
        <v>93</v>
      </c>
      <c r="S128" s="178">
        <f t="shared" si="15"/>
        <v>1480</v>
      </c>
      <c r="T128" s="174"/>
      <c r="U128" s="174">
        <f t="shared" si="14"/>
        <v>133</v>
      </c>
    </row>
    <row r="129" spans="15:21">
      <c r="O129" s="178">
        <f t="shared" si="11"/>
        <v>1490</v>
      </c>
      <c r="P129" s="174"/>
      <c r="Q129" s="174">
        <f t="shared" si="10"/>
        <v>93</v>
      </c>
      <c r="S129" s="178">
        <f t="shared" si="15"/>
        <v>1490</v>
      </c>
      <c r="T129" s="174"/>
      <c r="U129" s="174">
        <f t="shared" si="14"/>
        <v>133</v>
      </c>
    </row>
    <row r="130" spans="15:21">
      <c r="O130" s="178">
        <f t="shared" si="11"/>
        <v>1500</v>
      </c>
      <c r="P130" s="174"/>
      <c r="Q130" s="174">
        <f t="shared" si="10"/>
        <v>93</v>
      </c>
      <c r="S130" s="178">
        <f t="shared" si="15"/>
        <v>1500</v>
      </c>
      <c r="T130" s="174"/>
      <c r="U130" s="174">
        <f t="shared" si="14"/>
        <v>133</v>
      </c>
    </row>
    <row r="131" spans="15:21">
      <c r="O131" s="178">
        <f t="shared" si="11"/>
        <v>1510</v>
      </c>
      <c r="P131" s="174"/>
      <c r="Q131" s="174">
        <f t="shared" si="10"/>
        <v>93</v>
      </c>
      <c r="S131" s="178">
        <f t="shared" si="15"/>
        <v>1510</v>
      </c>
      <c r="T131" s="174"/>
      <c r="U131" s="174">
        <f t="shared" si="14"/>
        <v>133</v>
      </c>
    </row>
    <row r="132" spans="15:21">
      <c r="O132" s="178">
        <f t="shared" si="11"/>
        <v>1520</v>
      </c>
      <c r="P132" s="174"/>
      <c r="Q132" s="174">
        <f t="shared" si="10"/>
        <v>93</v>
      </c>
      <c r="S132" s="178">
        <f t="shared" si="15"/>
        <v>1520</v>
      </c>
      <c r="T132" s="174"/>
      <c r="U132" s="174">
        <f t="shared" si="14"/>
        <v>133</v>
      </c>
    </row>
    <row r="133" spans="15:21">
      <c r="O133" s="178">
        <f t="shared" si="11"/>
        <v>1530</v>
      </c>
      <c r="P133" s="174"/>
      <c r="Q133" s="174">
        <f t="shared" si="10"/>
        <v>93</v>
      </c>
      <c r="S133" s="178">
        <f t="shared" si="15"/>
        <v>1530</v>
      </c>
      <c r="T133" s="174"/>
      <c r="U133" s="174">
        <f t="shared" si="14"/>
        <v>133</v>
      </c>
    </row>
    <row r="134" spans="15:21">
      <c r="O134" s="178">
        <f t="shared" si="11"/>
        <v>1540</v>
      </c>
      <c r="P134" s="174"/>
      <c r="Q134" s="174">
        <f t="shared" ref="Q134:Q160" si="16">ROUND(IF(O134&gt;1046,93,IF(O134&gt;900,((-0.1787671*O134)+279.990411),IF(O134&gt;665,((-0.3442553*O134)+428.9297872),($J$13*O134^5)-($J$14*O134^4)+($J$15*O134^3)-($J$16*O134^2)+($J$17*O134)+$J$18))),2)</f>
        <v>93</v>
      </c>
      <c r="S134" s="178">
        <f t="shared" si="15"/>
        <v>1540</v>
      </c>
      <c r="T134" s="174"/>
      <c r="U134" s="174">
        <f t="shared" si="14"/>
        <v>133</v>
      </c>
    </row>
    <row r="135" spans="15:21">
      <c r="O135" s="178">
        <f t="shared" ref="O135:O160" si="17">O134+10</f>
        <v>1550</v>
      </c>
      <c r="P135" s="174"/>
      <c r="Q135" s="174">
        <f t="shared" si="16"/>
        <v>93</v>
      </c>
      <c r="S135" s="178">
        <f t="shared" si="15"/>
        <v>1550</v>
      </c>
      <c r="T135" s="174"/>
      <c r="U135" s="174">
        <f t="shared" si="14"/>
        <v>133</v>
      </c>
    </row>
    <row r="136" spans="15:21">
      <c r="O136" s="178">
        <f t="shared" si="17"/>
        <v>1560</v>
      </c>
      <c r="P136" s="174"/>
      <c r="Q136" s="174">
        <f t="shared" si="16"/>
        <v>93</v>
      </c>
      <c r="S136" s="178">
        <f t="shared" si="15"/>
        <v>1560</v>
      </c>
      <c r="T136" s="174"/>
      <c r="U136" s="174">
        <f t="shared" si="14"/>
        <v>133</v>
      </c>
    </row>
    <row r="137" spans="15:21">
      <c r="O137" s="178">
        <f t="shared" si="17"/>
        <v>1570</v>
      </c>
      <c r="P137" s="174"/>
      <c r="Q137" s="174">
        <f t="shared" si="16"/>
        <v>93</v>
      </c>
      <c r="S137" s="178">
        <f t="shared" si="15"/>
        <v>1570</v>
      </c>
      <c r="T137" s="174"/>
      <c r="U137" s="174">
        <f t="shared" si="14"/>
        <v>133</v>
      </c>
    </row>
    <row r="138" spans="15:21">
      <c r="O138" s="178">
        <f t="shared" si="17"/>
        <v>1580</v>
      </c>
      <c r="P138" s="174"/>
      <c r="Q138" s="174">
        <f t="shared" si="16"/>
        <v>93</v>
      </c>
      <c r="S138" s="178">
        <f t="shared" si="15"/>
        <v>1580</v>
      </c>
      <c r="T138" s="174"/>
      <c r="U138" s="174">
        <f t="shared" si="14"/>
        <v>133</v>
      </c>
    </row>
    <row r="139" spans="15:21">
      <c r="O139" s="178">
        <f t="shared" si="17"/>
        <v>1590</v>
      </c>
      <c r="P139" s="174"/>
      <c r="Q139" s="174">
        <f t="shared" si="16"/>
        <v>93</v>
      </c>
      <c r="S139" s="178">
        <f t="shared" si="15"/>
        <v>1590</v>
      </c>
      <c r="T139" s="174"/>
      <c r="U139" s="174">
        <f t="shared" si="14"/>
        <v>133</v>
      </c>
    </row>
    <row r="140" spans="15:21">
      <c r="O140" s="178">
        <f t="shared" si="17"/>
        <v>1600</v>
      </c>
      <c r="P140" s="174"/>
      <c r="Q140" s="174">
        <f t="shared" si="16"/>
        <v>93</v>
      </c>
      <c r="S140" s="178">
        <f t="shared" si="15"/>
        <v>1600</v>
      </c>
      <c r="T140" s="174"/>
      <c r="U140" s="174">
        <f t="shared" si="14"/>
        <v>133</v>
      </c>
    </row>
    <row r="141" spans="15:21">
      <c r="O141" s="178">
        <f t="shared" si="17"/>
        <v>1610</v>
      </c>
      <c r="P141" s="174"/>
      <c r="Q141" s="174">
        <f t="shared" si="16"/>
        <v>93</v>
      </c>
      <c r="S141" s="178">
        <f t="shared" si="15"/>
        <v>1610</v>
      </c>
      <c r="T141" s="174"/>
      <c r="U141" s="174">
        <f t="shared" si="14"/>
        <v>133</v>
      </c>
    </row>
    <row r="142" spans="15:21">
      <c r="O142" s="178">
        <f t="shared" si="17"/>
        <v>1620</v>
      </c>
      <c r="P142" s="174"/>
      <c r="Q142" s="174">
        <f t="shared" si="16"/>
        <v>93</v>
      </c>
      <c r="S142" s="178">
        <f t="shared" si="15"/>
        <v>1620</v>
      </c>
      <c r="T142" s="174"/>
      <c r="U142" s="174">
        <f t="shared" si="14"/>
        <v>133</v>
      </c>
    </row>
    <row r="143" spans="15:21">
      <c r="O143" s="178">
        <f t="shared" si="17"/>
        <v>1630</v>
      </c>
      <c r="P143" s="174"/>
      <c r="Q143" s="174">
        <f t="shared" si="16"/>
        <v>93</v>
      </c>
      <c r="S143" s="178">
        <f t="shared" si="15"/>
        <v>1630</v>
      </c>
      <c r="T143" s="174"/>
      <c r="U143" s="174">
        <f t="shared" si="14"/>
        <v>133</v>
      </c>
    </row>
    <row r="144" spans="15:21">
      <c r="O144" s="178">
        <f t="shared" si="17"/>
        <v>1640</v>
      </c>
      <c r="P144" s="174"/>
      <c r="Q144" s="174">
        <f t="shared" si="16"/>
        <v>93</v>
      </c>
      <c r="S144" s="178">
        <f t="shared" si="15"/>
        <v>1640</v>
      </c>
      <c r="T144" s="174"/>
      <c r="U144" s="174">
        <f t="shared" si="14"/>
        <v>133</v>
      </c>
    </row>
    <row r="145" spans="15:21">
      <c r="O145" s="178">
        <f t="shared" si="17"/>
        <v>1650</v>
      </c>
      <c r="P145" s="174"/>
      <c r="Q145" s="174">
        <f t="shared" si="16"/>
        <v>93</v>
      </c>
      <c r="S145" s="178">
        <f t="shared" si="15"/>
        <v>1650</v>
      </c>
      <c r="T145" s="174"/>
      <c r="U145" s="174">
        <f t="shared" si="14"/>
        <v>133</v>
      </c>
    </row>
    <row r="146" spans="15:21">
      <c r="O146" s="178">
        <f t="shared" si="17"/>
        <v>1660</v>
      </c>
      <c r="P146" s="174"/>
      <c r="Q146" s="174">
        <f t="shared" si="16"/>
        <v>93</v>
      </c>
      <c r="S146" s="178">
        <f t="shared" si="15"/>
        <v>1660</v>
      </c>
      <c r="T146" s="174"/>
      <c r="U146" s="174">
        <f t="shared" si="14"/>
        <v>133</v>
      </c>
    </row>
    <row r="147" spans="15:21">
      <c r="O147" s="178">
        <f t="shared" si="17"/>
        <v>1670</v>
      </c>
      <c r="P147" s="174"/>
      <c r="Q147" s="174">
        <f t="shared" si="16"/>
        <v>93</v>
      </c>
      <c r="S147" s="178">
        <f t="shared" si="15"/>
        <v>1670</v>
      </c>
      <c r="T147" s="174"/>
      <c r="U147" s="174">
        <f t="shared" si="14"/>
        <v>133</v>
      </c>
    </row>
    <row r="148" spans="15:21">
      <c r="O148" s="178">
        <f t="shared" si="17"/>
        <v>1680</v>
      </c>
      <c r="P148" s="174"/>
      <c r="Q148" s="174">
        <f t="shared" si="16"/>
        <v>93</v>
      </c>
      <c r="S148" s="178">
        <f t="shared" si="15"/>
        <v>1680</v>
      </c>
      <c r="T148" s="174"/>
      <c r="U148" s="174">
        <f t="shared" si="14"/>
        <v>133</v>
      </c>
    </row>
    <row r="149" spans="15:21">
      <c r="O149" s="178">
        <f t="shared" si="17"/>
        <v>1690</v>
      </c>
      <c r="P149" s="174"/>
      <c r="Q149" s="174">
        <f t="shared" si="16"/>
        <v>93</v>
      </c>
      <c r="S149" s="178">
        <f t="shared" si="15"/>
        <v>1690</v>
      </c>
      <c r="T149" s="174"/>
      <c r="U149" s="174">
        <f t="shared" ref="U149:U160" si="18">ROUND(IF(S149&gt;1460,133,($J$4*S149^5)-($J$5*S149^4)+($J$6*S149^3)-($J$7*S149^2)+($J$8*S149)+$J$9),2)</f>
        <v>133</v>
      </c>
    </row>
    <row r="150" spans="15:21">
      <c r="O150" s="178">
        <f t="shared" si="17"/>
        <v>1700</v>
      </c>
      <c r="P150" s="174"/>
      <c r="Q150" s="174">
        <f t="shared" si="16"/>
        <v>93</v>
      </c>
      <c r="S150" s="178">
        <f t="shared" ref="S150:S160" si="19">S149+10</f>
        <v>1700</v>
      </c>
      <c r="T150" s="174"/>
      <c r="U150" s="174">
        <f t="shared" si="18"/>
        <v>133</v>
      </c>
    </row>
    <row r="151" spans="15:21">
      <c r="O151" s="178">
        <f t="shared" si="17"/>
        <v>1710</v>
      </c>
      <c r="P151" s="174"/>
      <c r="Q151" s="174">
        <f t="shared" si="16"/>
        <v>93</v>
      </c>
      <c r="S151" s="178">
        <f t="shared" si="19"/>
        <v>1710</v>
      </c>
      <c r="T151" s="174"/>
      <c r="U151" s="174">
        <f t="shared" si="18"/>
        <v>133</v>
      </c>
    </row>
    <row r="152" spans="15:21">
      <c r="O152" s="178">
        <f t="shared" si="17"/>
        <v>1720</v>
      </c>
      <c r="P152" s="174"/>
      <c r="Q152" s="174">
        <f t="shared" si="16"/>
        <v>93</v>
      </c>
      <c r="S152" s="178">
        <f t="shared" si="19"/>
        <v>1720</v>
      </c>
      <c r="T152" s="174"/>
      <c r="U152" s="174">
        <f t="shared" si="18"/>
        <v>133</v>
      </c>
    </row>
    <row r="153" spans="15:21">
      <c r="O153" s="178">
        <f t="shared" si="17"/>
        <v>1730</v>
      </c>
      <c r="P153" s="174"/>
      <c r="Q153" s="174">
        <f t="shared" si="16"/>
        <v>93</v>
      </c>
      <c r="S153" s="178">
        <f t="shared" si="19"/>
        <v>1730</v>
      </c>
      <c r="T153" s="174"/>
      <c r="U153" s="174">
        <f t="shared" si="18"/>
        <v>133</v>
      </c>
    </row>
    <row r="154" spans="15:21">
      <c r="O154" s="178">
        <f t="shared" si="17"/>
        <v>1740</v>
      </c>
      <c r="P154" s="174"/>
      <c r="Q154" s="174">
        <f t="shared" si="16"/>
        <v>93</v>
      </c>
      <c r="S154" s="178">
        <f t="shared" si="19"/>
        <v>1740</v>
      </c>
      <c r="T154" s="174"/>
      <c r="U154" s="174">
        <f t="shared" si="18"/>
        <v>133</v>
      </c>
    </row>
    <row r="155" spans="15:21">
      <c r="O155" s="178">
        <f t="shared" si="17"/>
        <v>1750</v>
      </c>
      <c r="P155" s="174"/>
      <c r="Q155" s="174">
        <f t="shared" si="16"/>
        <v>93</v>
      </c>
      <c r="S155" s="178">
        <f t="shared" si="19"/>
        <v>1750</v>
      </c>
      <c r="T155" s="174"/>
      <c r="U155" s="174">
        <f t="shared" si="18"/>
        <v>133</v>
      </c>
    </row>
    <row r="156" spans="15:21">
      <c r="O156" s="178">
        <f t="shared" si="17"/>
        <v>1760</v>
      </c>
      <c r="P156" s="174"/>
      <c r="Q156" s="174">
        <f t="shared" si="16"/>
        <v>93</v>
      </c>
      <c r="S156" s="178">
        <f t="shared" si="19"/>
        <v>1760</v>
      </c>
      <c r="T156" s="174"/>
      <c r="U156" s="174">
        <f t="shared" si="18"/>
        <v>133</v>
      </c>
    </row>
    <row r="157" spans="15:21">
      <c r="O157" s="178">
        <f t="shared" si="17"/>
        <v>1770</v>
      </c>
      <c r="P157" s="174"/>
      <c r="Q157" s="174">
        <f t="shared" si="16"/>
        <v>93</v>
      </c>
      <c r="S157" s="178">
        <f t="shared" si="19"/>
        <v>1770</v>
      </c>
      <c r="T157" s="174"/>
      <c r="U157" s="174">
        <f t="shared" si="18"/>
        <v>133</v>
      </c>
    </row>
    <row r="158" spans="15:21">
      <c r="O158" s="178">
        <f t="shared" si="17"/>
        <v>1780</v>
      </c>
      <c r="P158" s="174"/>
      <c r="Q158" s="174">
        <f t="shared" si="16"/>
        <v>93</v>
      </c>
      <c r="S158" s="178">
        <f t="shared" si="19"/>
        <v>1780</v>
      </c>
      <c r="T158" s="174"/>
      <c r="U158" s="174">
        <f t="shared" si="18"/>
        <v>133</v>
      </c>
    </row>
    <row r="159" spans="15:21">
      <c r="O159" s="178">
        <f t="shared" si="17"/>
        <v>1790</v>
      </c>
      <c r="P159" s="174"/>
      <c r="Q159" s="174">
        <f t="shared" si="16"/>
        <v>93</v>
      </c>
      <c r="S159" s="178">
        <f t="shared" si="19"/>
        <v>1790</v>
      </c>
      <c r="T159" s="174"/>
      <c r="U159" s="174">
        <f t="shared" si="18"/>
        <v>133</v>
      </c>
    </row>
    <row r="160" spans="15:21">
      <c r="O160" s="178">
        <f t="shared" si="17"/>
        <v>1800</v>
      </c>
      <c r="P160" s="174"/>
      <c r="Q160" s="174">
        <f t="shared" si="16"/>
        <v>93</v>
      </c>
      <c r="S160" s="178">
        <f t="shared" si="19"/>
        <v>1800</v>
      </c>
      <c r="T160" s="174"/>
      <c r="U160" s="174">
        <f t="shared" si="18"/>
        <v>133</v>
      </c>
    </row>
  </sheetData>
  <mergeCells count="52">
    <mergeCell ref="C3:G3"/>
    <mergeCell ref="C2:G2"/>
    <mergeCell ref="I2:L2"/>
    <mergeCell ref="I3:L3"/>
    <mergeCell ref="J4:K4"/>
    <mergeCell ref="F4:G4"/>
    <mergeCell ref="D4:E4"/>
    <mergeCell ref="I4:I9"/>
    <mergeCell ref="J5:K5"/>
    <mergeCell ref="J6:K6"/>
    <mergeCell ref="J9:K9"/>
    <mergeCell ref="D6:E6"/>
    <mergeCell ref="D7:E7"/>
    <mergeCell ref="J7:K7"/>
    <mergeCell ref="J8:K8"/>
    <mergeCell ref="C4:C9"/>
    <mergeCell ref="J18:K18"/>
    <mergeCell ref="J16:K16"/>
    <mergeCell ref="J17:K17"/>
    <mergeCell ref="I13:I18"/>
    <mergeCell ref="I12:L12"/>
    <mergeCell ref="J13:K13"/>
    <mergeCell ref="J14:K14"/>
    <mergeCell ref="J15:K15"/>
    <mergeCell ref="F5:G5"/>
    <mergeCell ref="C13:C18"/>
    <mergeCell ref="C11:G11"/>
    <mergeCell ref="C12:G12"/>
    <mergeCell ref="D16:E16"/>
    <mergeCell ref="D17:E17"/>
    <mergeCell ref="D8:E8"/>
    <mergeCell ref="D13:E13"/>
    <mergeCell ref="D14:E14"/>
    <mergeCell ref="D15:E15"/>
    <mergeCell ref="D9:E9"/>
    <mergeCell ref="D5:E5"/>
    <mergeCell ref="D18:E18"/>
    <mergeCell ref="S1:U1"/>
    <mergeCell ref="T2:U2"/>
    <mergeCell ref="L17:M17"/>
    <mergeCell ref="O1:Q1"/>
    <mergeCell ref="P2:Q2"/>
    <mergeCell ref="L16:M16"/>
    <mergeCell ref="I11:L11"/>
    <mergeCell ref="L13:M13"/>
    <mergeCell ref="L14:M14"/>
    <mergeCell ref="C20:E20"/>
    <mergeCell ref="I20:K20"/>
    <mergeCell ref="C108:D108"/>
    <mergeCell ref="C113:E113"/>
    <mergeCell ref="C87:D87"/>
    <mergeCell ref="C92:E92"/>
  </mergeCells>
  <pageMargins left="0.7" right="0.7" top="0.75" bottom="0.75" header="0.3" footer="0.3"/>
</worksheet>
</file>

<file path=xl/worksheets/sheet12.xml><?xml version="1.0" encoding="utf-8"?>
<worksheet xmlns="http://schemas.openxmlformats.org/spreadsheetml/2006/main" xmlns:r="http://schemas.openxmlformats.org/officeDocument/2006/relationships">
  <sheetPr codeName="Sheet15">
    <tabColor rgb="FFFFFF00"/>
  </sheetPr>
  <dimension ref="A1:Z87"/>
  <sheetViews>
    <sheetView topLeftCell="C1" workbookViewId="0">
      <selection activeCell="G30" sqref="G30"/>
    </sheetView>
  </sheetViews>
  <sheetFormatPr defaultRowHeight="15"/>
  <cols>
    <col min="1" max="1" width="3.7109375" customWidth="1"/>
    <col min="2" max="6" width="8.7109375" customWidth="1"/>
    <col min="10" max="24" width="7.7109375" customWidth="1"/>
    <col min="26" max="26" width="13.7109375" bestFit="1" customWidth="1"/>
  </cols>
  <sheetData>
    <row r="1" spans="1:24">
      <c r="A1" s="45"/>
      <c r="B1" s="45"/>
      <c r="C1" s="45"/>
      <c r="D1" s="296"/>
      <c r="E1" s="438" t="s">
        <v>193</v>
      </c>
      <c r="F1" s="243" t="s">
        <v>68</v>
      </c>
      <c r="J1" s="1177" t="s">
        <v>188</v>
      </c>
      <c r="K1" s="1177"/>
      <c r="L1" s="1177"/>
      <c r="M1" s="1177"/>
      <c r="N1" s="1177"/>
      <c r="O1" s="1177"/>
      <c r="P1" s="1177"/>
      <c r="R1" s="1177" t="s">
        <v>196</v>
      </c>
      <c r="S1" s="1177"/>
      <c r="T1" s="1177"/>
      <c r="U1" s="1177"/>
      <c r="V1" s="1177"/>
      <c r="W1" s="1177"/>
      <c r="X1" s="1177"/>
    </row>
    <row r="2" spans="1:24">
      <c r="E2" s="243" t="s">
        <v>191</v>
      </c>
      <c r="F2" s="243" t="s">
        <v>192</v>
      </c>
      <c r="G2" s="240" t="s">
        <v>195</v>
      </c>
      <c r="H2" s="1177" t="str">
        <f>"D = " &amp; CONCATENATE(I3) &amp; " ft"</f>
        <v>D = 30 ft</v>
      </c>
      <c r="I2" s="1177"/>
      <c r="J2" s="167"/>
      <c r="K2" s="1177" t="s">
        <v>194</v>
      </c>
      <c r="L2" s="1177"/>
      <c r="M2" s="1177"/>
      <c r="N2" s="1177"/>
      <c r="O2" s="1177"/>
      <c r="P2" s="1177"/>
      <c r="S2" s="1177" t="s">
        <v>194</v>
      </c>
      <c r="T2" s="1177"/>
      <c r="U2" s="1177"/>
      <c r="V2" s="1177"/>
      <c r="W2" s="1177"/>
      <c r="X2" s="1177"/>
    </row>
    <row r="3" spans="1:24">
      <c r="A3" s="18">
        <f>'Warrant 9'!AB21</f>
        <v>0</v>
      </c>
      <c r="C3" s="452" t="str">
        <f>IF('Warrant 9'!AA18="","",'Warrant 9'!AA18)</f>
        <v/>
      </c>
      <c r="D3" s="453" t="str">
        <f>IF('Warrant 9'!AD18="","",'Warrant 9'!AD18)</f>
        <v/>
      </c>
      <c r="E3" s="454" t="str">
        <f>IF('Warrant 9'!AG18="","",'Warrant 9'!AG18*F11)</f>
        <v/>
      </c>
      <c r="F3" s="455">
        <f>HLOOKUP(G6,B32:M34,3)</f>
        <v>25</v>
      </c>
      <c r="G3" s="456">
        <f>IF(E3="",0,IF(E3&gt;=F3,1,0))</f>
        <v>0</v>
      </c>
      <c r="H3" s="248" t="s">
        <v>26</v>
      </c>
      <c r="I3" s="468">
        <f>E4</f>
        <v>30</v>
      </c>
      <c r="J3" s="167" t="s">
        <v>26</v>
      </c>
      <c r="K3" s="245">
        <v>30</v>
      </c>
      <c r="L3" s="245">
        <v>50</v>
      </c>
      <c r="M3" s="245">
        <v>70</v>
      </c>
      <c r="N3" s="245">
        <v>90</v>
      </c>
      <c r="O3" s="245">
        <v>110</v>
      </c>
      <c r="P3" s="245">
        <v>130</v>
      </c>
      <c r="Q3" s="18"/>
      <c r="R3" s="245" t="s">
        <v>26</v>
      </c>
      <c r="S3" s="245">
        <v>30</v>
      </c>
      <c r="T3" s="245">
        <v>50</v>
      </c>
      <c r="U3" s="245">
        <v>70</v>
      </c>
      <c r="V3" s="245">
        <v>90</v>
      </c>
      <c r="W3" s="245">
        <v>110</v>
      </c>
      <c r="X3" s="245">
        <v>130</v>
      </c>
    </row>
    <row r="4" spans="1:24">
      <c r="C4" s="1196" t="s">
        <v>190</v>
      </c>
      <c r="D4" s="1196"/>
      <c r="E4" s="457">
        <f>IF(A3&lt;30,30,VLOOKUP(A3,B6:B11,1))</f>
        <v>30</v>
      </c>
      <c r="H4" s="465">
        <f>IF(E$5=1,J4,IF(HLOOKUP(E$4,S$3:X$15,2)="",R5,R4))</f>
        <v>50</v>
      </c>
      <c r="I4" s="469">
        <f>IF(E$5=1,HLOOKUP(E$4,K$3:P$15,2),IF(HLOOKUP(E$4,S$3:X$15,2)="",HLOOKUP(E$4,S$3:X$15,3),HLOOKUP(E$4,S$3:X$15,2)))</f>
        <v>66.849999999999994</v>
      </c>
      <c r="J4" s="1">
        <v>50</v>
      </c>
      <c r="K4" s="182">
        <f>-(0.6438*J4)+99.04</f>
        <v>66.849999999999994</v>
      </c>
      <c r="L4" s="182">
        <f>-(0.7*J4)+114.89</f>
        <v>79.89</v>
      </c>
      <c r="M4" s="182">
        <f>-(0.4636667*J4)+161.2233333</f>
        <v>138.03999830000001</v>
      </c>
      <c r="N4" s="182">
        <f>-(0.3859*J4)+185.055</f>
        <v>165.76</v>
      </c>
      <c r="O4" s="182">
        <f>-(0.5054*J4)+216.57</f>
        <v>191.29999999999998</v>
      </c>
      <c r="P4" s="182">
        <f>-(0.63044*J4)+255.432</f>
        <v>223.91</v>
      </c>
      <c r="R4" s="1">
        <v>50</v>
      </c>
      <c r="S4" s="182">
        <f>-(0.6438*R4)+99.04</f>
        <v>66.849999999999994</v>
      </c>
      <c r="T4" s="182">
        <f>-(0.7*R4)+114.89</f>
        <v>79.89</v>
      </c>
      <c r="U4" s="182"/>
      <c r="V4" s="182"/>
      <c r="W4" s="182"/>
      <c r="X4" s="182"/>
    </row>
    <row r="5" spans="1:24">
      <c r="B5" s="135" t="s">
        <v>189</v>
      </c>
      <c r="C5" s="1202" t="s">
        <v>267</v>
      </c>
      <c r="D5" s="1202"/>
      <c r="E5" s="457">
        <f>IF('Warrant 1'!W10="",1,IF('Warrant 1'!W10=1,1,2))</f>
        <v>1</v>
      </c>
      <c r="F5" s="451" t="s">
        <v>268</v>
      </c>
      <c r="G5" s="466">
        <f>VLOOKUP(E4,B6:C11,2,FALSE)</f>
        <v>1</v>
      </c>
      <c r="H5" s="465">
        <f t="shared" ref="H5:H14" si="0">IF(E$5=1,IF(J5="","",J5),R5)</f>
        <v>100</v>
      </c>
      <c r="I5" s="469">
        <f>IF(E$5=1,HLOOKUP(E$4,K$3:P$15,3),HLOOKUP(E$4,S$3:X$15,3))</f>
        <v>34.659999999999997</v>
      </c>
      <c r="J5" s="1">
        <v>100</v>
      </c>
      <c r="K5" s="182">
        <f>-(0.1932*J5)+53.98</f>
        <v>34.659999999999997</v>
      </c>
      <c r="L5" s="182">
        <f>-(0.3978*J5)+84.67</f>
        <v>44.89</v>
      </c>
      <c r="M5" s="182">
        <f t="shared" ref="M5:M6" si="1">-(0.4636667*J5)+161.2233333</f>
        <v>114.85666330000001</v>
      </c>
      <c r="N5" s="182">
        <f>-(0.3859*J5)+185.055</f>
        <v>146.465</v>
      </c>
      <c r="O5" s="182">
        <f t="shared" ref="O5:O7" si="2">-(0.5054*J5)+216.57</f>
        <v>166.03</v>
      </c>
      <c r="P5" s="182">
        <f t="shared" ref="P5:P8" si="3">-(0.63044*J5)+255.432</f>
        <v>192.38799999999998</v>
      </c>
      <c r="R5" s="1">
        <v>100</v>
      </c>
      <c r="S5" s="182">
        <f>-(0.1932*R5)+53.98</f>
        <v>34.659999999999997</v>
      </c>
      <c r="T5" s="182">
        <f>-(0.3978*R5)+84.67</f>
        <v>44.89</v>
      </c>
      <c r="U5" s="182">
        <f>-(1.155*R5)+305</f>
        <v>189.5</v>
      </c>
      <c r="V5" s="182">
        <f>-(0.67*R5)+295.5</f>
        <v>228.5</v>
      </c>
      <c r="W5" s="182">
        <f>-(0.6703333*R5)+331.8333333</f>
        <v>264.80000329999996</v>
      </c>
      <c r="X5" s="182">
        <f>-(1.2984*R5)+448.84</f>
        <v>319</v>
      </c>
    </row>
    <row r="6" spans="1:24">
      <c r="B6" s="247">
        <v>30</v>
      </c>
      <c r="C6" s="396">
        <v>1</v>
      </c>
      <c r="E6" s="1196" t="s">
        <v>269</v>
      </c>
      <c r="F6" s="1196"/>
      <c r="G6" s="467">
        <f>IF(E5=1,G5,G5+6)</f>
        <v>1</v>
      </c>
      <c r="H6" s="465">
        <f t="shared" si="0"/>
        <v>150</v>
      </c>
      <c r="I6" s="469">
        <f>IF(E$5=1,HLOOKUP(E$4,K$3:P$15,4),HLOOKUP(E$4,S$3:X$15,4))</f>
        <v>24.999999999999996</v>
      </c>
      <c r="J6" s="1">
        <v>150</v>
      </c>
      <c r="K6" s="182">
        <f>-(0.1932*J6)+53.98</f>
        <v>24.999999999999996</v>
      </c>
      <c r="L6" s="182">
        <f>-(0.3978*J6)+84.67</f>
        <v>25.000000000000007</v>
      </c>
      <c r="M6" s="182">
        <f t="shared" si="1"/>
        <v>91.673328300000009</v>
      </c>
      <c r="N6" s="182">
        <f>-(0.4348*J6)+192.39</f>
        <v>127.16999999999999</v>
      </c>
      <c r="O6" s="182">
        <f t="shared" si="2"/>
        <v>140.76</v>
      </c>
      <c r="P6" s="182">
        <f t="shared" si="3"/>
        <v>160.86599999999999</v>
      </c>
      <c r="R6" s="1">
        <v>150</v>
      </c>
      <c r="S6" s="182">
        <f>-(0.1932*R6)+53.98</f>
        <v>24.999999999999996</v>
      </c>
      <c r="T6" s="182">
        <f>-(0.3978*R6)+84.67</f>
        <v>25.000000000000007</v>
      </c>
      <c r="U6" s="182">
        <f>-(1.0534*R6)+289.76</f>
        <v>131.75</v>
      </c>
      <c r="V6" s="182">
        <f>-(0.865*R6)+324.75</f>
        <v>195</v>
      </c>
      <c r="W6" s="182">
        <f t="shared" ref="W6:W7" si="4">-(0.6703333*R6)+331.8333333</f>
        <v>231.28333829999997</v>
      </c>
      <c r="X6" s="182">
        <f>-(0.7472*R6)+366.16</f>
        <v>254.08000000000004</v>
      </c>
    </row>
    <row r="7" spans="1:24" ht="15.75" thickBot="1">
      <c r="B7" s="247">
        <v>50</v>
      </c>
      <c r="C7" s="396">
        <v>2</v>
      </c>
      <c r="H7" s="465">
        <f t="shared" si="0"/>
        <v>200</v>
      </c>
      <c r="I7" s="469">
        <f>IF(E$5=1,HLOOKUP(E$4,K$3:P$15,5),HLOOKUP(E$4,S$3:X$15,5))</f>
        <v>25</v>
      </c>
      <c r="J7" s="1">
        <v>200</v>
      </c>
      <c r="K7" s="182">
        <v>25</v>
      </c>
      <c r="L7" s="182">
        <v>25</v>
      </c>
      <c r="M7" s="182">
        <f>-(0.2331333*J7)+115.1166667</f>
        <v>68.490006699999995</v>
      </c>
      <c r="N7" s="182">
        <f>-(0.4891*J7)+203.25</f>
        <v>105.43</v>
      </c>
      <c r="O7" s="182">
        <f t="shared" si="2"/>
        <v>115.49</v>
      </c>
      <c r="P7" s="182">
        <f t="shared" si="3"/>
        <v>129.34399999999999</v>
      </c>
      <c r="R7" s="1">
        <v>200</v>
      </c>
      <c r="S7" s="182">
        <v>25</v>
      </c>
      <c r="T7" s="182">
        <v>25</v>
      </c>
      <c r="U7" s="182">
        <f>-(0.2738667*R7)+133.8533333</f>
        <v>79.079993299999998</v>
      </c>
      <c r="V7" s="182">
        <f>-(0.865*R7)+324.75</f>
        <v>151.75</v>
      </c>
      <c r="W7" s="182">
        <f t="shared" si="4"/>
        <v>197.76667329999998</v>
      </c>
      <c r="X7" s="182">
        <f t="shared" ref="X7:X8" si="5">-(0.7472*R7)+366.16</f>
        <v>216.72000000000003</v>
      </c>
    </row>
    <row r="8" spans="1:24" ht="15.75" thickTop="1">
      <c r="B8" s="247">
        <v>70</v>
      </c>
      <c r="C8" s="396">
        <v>3</v>
      </c>
      <c r="E8" s="263" t="s">
        <v>200</v>
      </c>
      <c r="F8" s="264">
        <f>VLOOKUP('Warrant 9'!X14,W9Calc!B15:C20,2)</f>
        <v>0.67</v>
      </c>
      <c r="H8" s="465">
        <f t="shared" si="0"/>
        <v>250</v>
      </c>
      <c r="I8" s="469">
        <f>IF(E$5=1,HLOOKUP(E$4,K$3:P$15,6),HLOOKUP(E$4,S$3:X$15,6))</f>
        <v>25</v>
      </c>
      <c r="J8" s="1">
        <v>250</v>
      </c>
      <c r="K8" s="182">
        <v>25</v>
      </c>
      <c r="L8" s="182">
        <v>25</v>
      </c>
      <c r="M8" s="182">
        <f t="shared" ref="M8:M9" si="6">-(0.2331333*J8)+115.1166667</f>
        <v>56.833341699999998</v>
      </c>
      <c r="N8" s="182">
        <f>-(0.4891*J8)+203.25</f>
        <v>80.975000000000009</v>
      </c>
      <c r="O8" s="182">
        <f>-(0.587*J8)+236.97</f>
        <v>90.22</v>
      </c>
      <c r="P8" s="182">
        <f t="shared" si="3"/>
        <v>97.821999999999974</v>
      </c>
      <c r="R8" s="1">
        <v>250</v>
      </c>
      <c r="S8" s="182">
        <v>25</v>
      </c>
      <c r="T8" s="182">
        <v>25</v>
      </c>
      <c r="U8" s="182">
        <f t="shared" ref="U8:U9" si="7">-(0.2738667*R8)+133.8533333</f>
        <v>65.386658299999993</v>
      </c>
      <c r="V8" s="182">
        <f>-(0.4983*R8)+233.075</f>
        <v>108.49999999999999</v>
      </c>
      <c r="W8" s="182">
        <f>-(0.725*R8)+345.5</f>
        <v>164.25</v>
      </c>
      <c r="X8" s="182">
        <f t="shared" si="5"/>
        <v>179.36000000000004</v>
      </c>
    </row>
    <row r="9" spans="1:24">
      <c r="B9" s="247">
        <v>90</v>
      </c>
      <c r="C9" s="396">
        <v>4</v>
      </c>
      <c r="E9" s="265" t="s">
        <v>201</v>
      </c>
      <c r="F9" s="266">
        <f>VLOOKUP('Warrant 9'!X16,W9Calc!E15:F18,2)</f>
        <v>1</v>
      </c>
      <c r="H9" s="465">
        <f t="shared" si="0"/>
        <v>300</v>
      </c>
      <c r="I9" s="469">
        <f>IF(E$5=1,HLOOKUP(E$4,K$3:P$15,7),HLOOKUP(E$4,S$3:X$15,7))</f>
        <v>25</v>
      </c>
      <c r="J9" s="1">
        <v>300</v>
      </c>
      <c r="K9" s="182">
        <v>25</v>
      </c>
      <c r="L9" s="182">
        <v>25</v>
      </c>
      <c r="M9" s="182">
        <f t="shared" si="6"/>
        <v>45.176676700000002</v>
      </c>
      <c r="N9" s="182">
        <f>-(0.134*J9)+95.64</f>
        <v>55.44</v>
      </c>
      <c r="O9" s="182">
        <f>-(0.1632*J9)+109.83</f>
        <v>60.87</v>
      </c>
      <c r="P9" s="182">
        <f>-(0.1846*J9)+121.68</f>
        <v>66.300000000000011</v>
      </c>
      <c r="R9" s="1">
        <v>300</v>
      </c>
      <c r="S9" s="182">
        <v>25</v>
      </c>
      <c r="T9" s="182">
        <v>25</v>
      </c>
      <c r="U9" s="182">
        <f t="shared" si="7"/>
        <v>51.693323300000003</v>
      </c>
      <c r="V9" s="182">
        <f>-(0.4983*R9)+233.075</f>
        <v>83.58499999999998</v>
      </c>
      <c r="W9" s="182">
        <f>-(0.6722*R9)+329.66</f>
        <v>128.00000000000003</v>
      </c>
      <c r="X9" s="182">
        <f>-(0.75*R9)+367</f>
        <v>142</v>
      </c>
    </row>
    <row r="10" spans="1:24" ht="15.75" thickBot="1">
      <c r="B10" s="247">
        <v>110</v>
      </c>
      <c r="C10" s="396">
        <v>5</v>
      </c>
      <c r="E10" s="267" t="s">
        <v>204</v>
      </c>
      <c r="F10" s="268">
        <f>IF(E4&gt;=70,VLOOKUP('Warrant 9'!X18,W9Calc!B24:D30,3),VLOOKUP('Warrant 9'!X18,W9Calc!B24:D30,2))</f>
        <v>0.5</v>
      </c>
      <c r="H10" s="465">
        <f t="shared" si="0"/>
        <v>350</v>
      </c>
      <c r="I10" s="469">
        <f>IF(E$5=1,HLOOKUP(E$4,K$3:P$15,8),HLOOKUP(E$4,S$3:X$15,8))</f>
        <v>25</v>
      </c>
      <c r="J10" s="1">
        <v>350</v>
      </c>
      <c r="K10" s="182">
        <v>25</v>
      </c>
      <c r="L10" s="182">
        <v>25</v>
      </c>
      <c r="M10" s="182">
        <f>-(0.0568*J10)+53.4</f>
        <v>33.519999999999996</v>
      </c>
      <c r="N10" s="182">
        <f>-(0.25*J10)+137.5</f>
        <v>50</v>
      </c>
      <c r="O10" s="182">
        <f>-(0.2771*J10)+149.695</f>
        <v>52.709999999999994</v>
      </c>
      <c r="P10" s="182">
        <f>-(0.3207*J10)+169.315</f>
        <v>57.070000000000007</v>
      </c>
      <c r="R10" s="1">
        <v>350</v>
      </c>
      <c r="S10" s="182">
        <v>25</v>
      </c>
      <c r="T10" s="182">
        <v>25</v>
      </c>
      <c r="U10" s="182">
        <f>-(0.13*R10)+83.5</f>
        <v>38</v>
      </c>
      <c r="V10" s="182">
        <f>-(0.3584*R10)+184.11</f>
        <v>58.670000000000016</v>
      </c>
      <c r="W10" s="182">
        <f>-(0.8878*R10)+405.12</f>
        <v>94.389999999999986</v>
      </c>
      <c r="X10" s="182">
        <f>-(1.0288*R10)+464.58</f>
        <v>104.5</v>
      </c>
    </row>
    <row r="11" spans="1:24" ht="15.75" thickBot="1">
      <c r="B11" s="247">
        <v>130</v>
      </c>
      <c r="C11" s="396">
        <v>6</v>
      </c>
      <c r="E11" s="269" t="s">
        <v>205</v>
      </c>
      <c r="F11" s="270">
        <f>F8*F9*F10</f>
        <v>0.33500000000000002</v>
      </c>
      <c r="H11" s="465">
        <f t="shared" si="0"/>
        <v>400</v>
      </c>
      <c r="I11" s="469">
        <f>IF(E$5=1,HLOOKUP(E$4,K$3:P$15,9),HLOOKUP(E$4,S$3:X$15,9))</f>
        <v>25</v>
      </c>
      <c r="J11" s="1">
        <v>400</v>
      </c>
      <c r="K11" s="182">
        <v>25</v>
      </c>
      <c r="L11" s="182">
        <v>25</v>
      </c>
      <c r="M11" s="182">
        <f>-(0.1136*J11)+76.12</f>
        <v>30.68</v>
      </c>
      <c r="N11" s="182">
        <f>-(0.25*J11)+137.5</f>
        <v>37.5</v>
      </c>
      <c r="O11" s="182">
        <f>-(0.2771*J11)+149.695</f>
        <v>38.85499999999999</v>
      </c>
      <c r="P11" s="182">
        <f>-(0.3207*J11)+169.315</f>
        <v>41.034999999999997</v>
      </c>
      <c r="R11" s="1">
        <v>400</v>
      </c>
      <c r="S11" s="182">
        <v>25</v>
      </c>
      <c r="T11" s="182">
        <v>25</v>
      </c>
      <c r="U11" s="182">
        <f>-(0.13*R11)+83.5</f>
        <v>31.5</v>
      </c>
      <c r="V11" s="182">
        <f>-(0.315*R11)+166.75</f>
        <v>40.75</v>
      </c>
      <c r="W11" s="182">
        <f>-(0.41*R11)+214</f>
        <v>50</v>
      </c>
      <c r="X11" s="182">
        <f>-(0.3812*R11)+205.54</f>
        <v>53.06</v>
      </c>
    </row>
    <row r="12" spans="1:24" ht="15.75" thickTop="1">
      <c r="A12" s="18"/>
      <c r="B12" s="3"/>
      <c r="C12" s="2"/>
      <c r="D12" s="1"/>
      <c r="E12" s="18"/>
      <c r="F12" s="271"/>
      <c r="H12" s="465">
        <f t="shared" si="0"/>
        <v>450</v>
      </c>
      <c r="I12" s="469">
        <f>IF(E$5=1,HLOOKUP(E$4,K$3:P$15,10),HLOOKUP(E$4,S$3:X$15,10))</f>
        <v>25</v>
      </c>
      <c r="J12" s="1">
        <v>450</v>
      </c>
      <c r="K12" s="182">
        <v>25</v>
      </c>
      <c r="L12" s="182">
        <v>25</v>
      </c>
      <c r="M12" s="182">
        <v>25</v>
      </c>
      <c r="N12" s="182">
        <v>25</v>
      </c>
      <c r="O12" s="182">
        <v>25</v>
      </c>
      <c r="P12" s="182">
        <v>25</v>
      </c>
      <c r="R12" s="1">
        <v>450</v>
      </c>
      <c r="S12" s="182">
        <v>25</v>
      </c>
      <c r="T12" s="182">
        <v>25</v>
      </c>
      <c r="U12" s="182">
        <f>-(0.13*R12)+83.5</f>
        <v>25</v>
      </c>
      <c r="V12" s="182">
        <f>-(0.315*R12)+166.75</f>
        <v>25</v>
      </c>
      <c r="W12" s="182">
        <f>-(0.05*R12)+52</f>
        <v>29.5</v>
      </c>
      <c r="X12" s="182">
        <f>-(0.14*R12)+97</f>
        <v>33.999999999999993</v>
      </c>
    </row>
    <row r="13" spans="1:24" ht="15.75" thickBot="1">
      <c r="A13" s="18"/>
      <c r="C13" s="182"/>
      <c r="H13" s="465">
        <f t="shared" si="0"/>
        <v>500</v>
      </c>
      <c r="I13" s="469">
        <f>IF(E$5=1,HLOOKUP(E$4,K$3:P$15,11),HLOOKUP(E$4,S$3:X$15,11))</f>
        <v>25</v>
      </c>
      <c r="J13" s="1">
        <v>500</v>
      </c>
      <c r="K13" s="182">
        <v>25</v>
      </c>
      <c r="L13" s="182">
        <v>25</v>
      </c>
      <c r="M13" s="182">
        <v>25</v>
      </c>
      <c r="N13" s="182">
        <v>25</v>
      </c>
      <c r="O13" s="182">
        <v>25</v>
      </c>
      <c r="P13" s="182">
        <v>25</v>
      </c>
      <c r="R13" s="1">
        <v>500</v>
      </c>
      <c r="S13" s="182">
        <v>25</v>
      </c>
      <c r="T13" s="182">
        <v>25</v>
      </c>
      <c r="U13" s="182">
        <v>25</v>
      </c>
      <c r="V13" s="182">
        <v>25</v>
      </c>
      <c r="W13" s="182">
        <f>-(0.02*R13)+37</f>
        <v>27</v>
      </c>
      <c r="X13" s="182">
        <f>-(0.02*R13)+37</f>
        <v>27</v>
      </c>
    </row>
    <row r="14" spans="1:24">
      <c r="A14" s="18"/>
      <c r="B14" s="1197" t="s">
        <v>202</v>
      </c>
      <c r="C14" s="1198"/>
      <c r="E14" s="1197" t="s">
        <v>203</v>
      </c>
      <c r="F14" s="1198"/>
      <c r="H14" s="465">
        <f t="shared" si="0"/>
        <v>600</v>
      </c>
      <c r="I14" s="469">
        <f>IF(E$5=1,IF(HLOOKUP(E$4,K$3:P$15,12)="","",HLOOKUP(E$4,K$3:P$15,12)),HLOOKUP(E$4,S$3:X$15,12))</f>
        <v>25</v>
      </c>
      <c r="J14" s="474">
        <v>600</v>
      </c>
      <c r="K14" s="182">
        <v>25</v>
      </c>
      <c r="L14" s="182">
        <v>25</v>
      </c>
      <c r="M14" s="182">
        <v>25</v>
      </c>
      <c r="N14" s="182">
        <v>25</v>
      </c>
      <c r="O14" s="182">
        <v>25</v>
      </c>
      <c r="P14" s="182">
        <v>25</v>
      </c>
      <c r="R14" s="1">
        <v>600</v>
      </c>
      <c r="S14" s="182">
        <v>25</v>
      </c>
      <c r="T14" s="182">
        <v>25</v>
      </c>
      <c r="U14" s="182">
        <v>25</v>
      </c>
      <c r="V14" s="182">
        <v>25</v>
      </c>
      <c r="W14" s="182">
        <f>-(0.02*R14)+37</f>
        <v>25</v>
      </c>
      <c r="X14" s="182">
        <f>-(0.02*R14)+37</f>
        <v>25</v>
      </c>
    </row>
    <row r="15" spans="1:24">
      <c r="A15" s="18"/>
      <c r="B15" s="255">
        <v>0</v>
      </c>
      <c r="C15" s="256">
        <v>0.67</v>
      </c>
      <c r="E15" s="259">
        <v>0</v>
      </c>
      <c r="F15" s="256">
        <v>1</v>
      </c>
      <c r="H15" s="465">
        <f>IF(E$5=1,IF(J15="","",J15),R15)</f>
        <v>800</v>
      </c>
      <c r="I15" s="469">
        <f>IF(E$5=1,IF(HLOOKUP(E$4,K$3:P$15,13)="","",HLOOKUP(E$4,K$3:P$15,13)),HLOOKUP(E$4,S$3:X$15,13))</f>
        <v>25</v>
      </c>
      <c r="J15" s="474">
        <v>800</v>
      </c>
      <c r="K15" s="182">
        <v>25</v>
      </c>
      <c r="L15" s="182">
        <v>25</v>
      </c>
      <c r="M15" s="182">
        <v>25</v>
      </c>
      <c r="N15" s="182">
        <v>25</v>
      </c>
      <c r="O15" s="182">
        <v>25</v>
      </c>
      <c r="P15" s="182">
        <v>25</v>
      </c>
      <c r="R15" s="1">
        <f>IF(D1&gt;800,CEILING(D1,100),800)</f>
        <v>800</v>
      </c>
      <c r="S15" s="182">
        <v>25</v>
      </c>
      <c r="T15" s="182">
        <v>25</v>
      </c>
      <c r="U15" s="182">
        <v>25</v>
      </c>
      <c r="V15" s="182">
        <v>25</v>
      </c>
      <c r="W15" s="182">
        <v>25</v>
      </c>
      <c r="X15" s="182">
        <v>25</v>
      </c>
    </row>
    <row r="16" spans="1:24">
      <c r="A16" s="18"/>
      <c r="B16" s="255">
        <v>2</v>
      </c>
      <c r="C16" s="256">
        <v>0.91</v>
      </c>
      <c r="E16" s="259">
        <v>0.02</v>
      </c>
      <c r="F16" s="256">
        <v>1.0900000000000001</v>
      </c>
      <c r="J16" s="1185" t="s">
        <v>270</v>
      </c>
      <c r="K16" s="1185"/>
      <c r="L16" s="1185"/>
      <c r="M16" s="1185"/>
      <c r="N16" s="1185"/>
      <c r="O16" s="1185"/>
      <c r="P16" s="1185"/>
    </row>
    <row r="17" spans="1:17">
      <c r="A17" s="18"/>
      <c r="B17" s="255">
        <v>3</v>
      </c>
      <c r="C17" s="256">
        <v>1</v>
      </c>
      <c r="E17" s="259">
        <v>0.04</v>
      </c>
      <c r="F17" s="256">
        <v>1.19</v>
      </c>
      <c r="J17" s="470">
        <f>IF($E$5=1,IF(J4="","",J4),R4)</f>
        <v>50</v>
      </c>
      <c r="K17" s="458">
        <f t="shared" ref="K17:L27" si="8">IF($E$5=1,IF(K4="","",K4),S4)</f>
        <v>66.849999999999994</v>
      </c>
      <c r="L17" s="458">
        <f t="shared" si="8"/>
        <v>79.89</v>
      </c>
      <c r="M17" s="470">
        <f>IF($E$5=1,IF(J4="","",J4),R5)</f>
        <v>50</v>
      </c>
      <c r="N17" s="458">
        <f>IF($E$5=1,IF(M4="","",M4),IF(U4="",U5,U4))</f>
        <v>138.03999830000001</v>
      </c>
      <c r="O17" s="458">
        <f t="shared" ref="O17:Q17" si="9">IF($E$5=1,IF(N4="","",N4),IF(V4="",V5,V4))</f>
        <v>165.76</v>
      </c>
      <c r="P17" s="458">
        <f t="shared" si="9"/>
        <v>191.29999999999998</v>
      </c>
      <c r="Q17" s="459">
        <f t="shared" si="9"/>
        <v>223.91</v>
      </c>
    </row>
    <row r="18" spans="1:17" ht="15.75" thickBot="1">
      <c r="A18" s="18"/>
      <c r="B18" s="255">
        <v>6</v>
      </c>
      <c r="C18" s="256">
        <v>1.18</v>
      </c>
      <c r="E18" s="260">
        <v>0.06</v>
      </c>
      <c r="F18" s="258">
        <v>1.32</v>
      </c>
      <c r="J18" s="471">
        <f>IF($E$5=1,IF(J5="","",J5),R5)</f>
        <v>100</v>
      </c>
      <c r="K18" s="460">
        <f t="shared" si="8"/>
        <v>34.659999999999997</v>
      </c>
      <c r="L18" s="460">
        <f t="shared" si="8"/>
        <v>44.89</v>
      </c>
      <c r="M18" s="471">
        <f t="shared" ref="M18:M28" si="10">IF(N18="","",IF($E$5=1,IF(J5="","",J5),R5))</f>
        <v>100</v>
      </c>
      <c r="N18" s="460">
        <f t="shared" ref="N18:N28" si="11">IF($E$5=1,IF(M5="","",M5),U5)</f>
        <v>114.85666330000001</v>
      </c>
      <c r="O18" s="460">
        <f t="shared" ref="O18:O28" si="12">IF($E$5=1,IF(N5="","",N5),V5)</f>
        <v>146.465</v>
      </c>
      <c r="P18" s="460">
        <f t="shared" ref="P18:P28" si="13">IF($E$5=1,IF(O5="","",O5),W5)</f>
        <v>166.03</v>
      </c>
      <c r="Q18" s="461">
        <f t="shared" ref="Q18:Q28" si="14">IF($E$5=1,IF(P5="","",P5),X5)</f>
        <v>192.38799999999998</v>
      </c>
    </row>
    <row r="19" spans="1:17">
      <c r="A19" s="18"/>
      <c r="B19" s="255">
        <v>9</v>
      </c>
      <c r="C19" s="256">
        <v>1.25</v>
      </c>
      <c r="J19" s="471">
        <f t="shared" ref="J19:J27" si="15">IF($E$5=1,IF(J6="","",J6),R6)</f>
        <v>150</v>
      </c>
      <c r="K19" s="460">
        <f t="shared" si="8"/>
        <v>24.999999999999996</v>
      </c>
      <c r="L19" s="460">
        <f t="shared" si="8"/>
        <v>25.000000000000007</v>
      </c>
      <c r="M19" s="471">
        <f t="shared" si="10"/>
        <v>150</v>
      </c>
      <c r="N19" s="460">
        <f t="shared" si="11"/>
        <v>91.673328300000009</v>
      </c>
      <c r="O19" s="460">
        <f t="shared" si="12"/>
        <v>127.16999999999999</v>
      </c>
      <c r="P19" s="460">
        <f t="shared" si="13"/>
        <v>140.76</v>
      </c>
      <c r="Q19" s="461">
        <f t="shared" si="14"/>
        <v>160.86599999999999</v>
      </c>
    </row>
    <row r="20" spans="1:17" ht="15.75" thickBot="1">
      <c r="A20" s="18"/>
      <c r="B20" s="257">
        <v>12</v>
      </c>
      <c r="C20" s="258">
        <v>1.33</v>
      </c>
      <c r="J20" s="471">
        <f t="shared" si="15"/>
        <v>200</v>
      </c>
      <c r="K20" s="460">
        <f t="shared" si="8"/>
        <v>25</v>
      </c>
      <c r="L20" s="460">
        <f t="shared" si="8"/>
        <v>25</v>
      </c>
      <c r="M20" s="471">
        <f t="shared" si="10"/>
        <v>200</v>
      </c>
      <c r="N20" s="460">
        <f t="shared" si="11"/>
        <v>68.490006699999995</v>
      </c>
      <c r="O20" s="460">
        <f t="shared" si="12"/>
        <v>105.43</v>
      </c>
      <c r="P20" s="460">
        <f t="shared" si="13"/>
        <v>115.49</v>
      </c>
      <c r="Q20" s="461">
        <f t="shared" si="14"/>
        <v>129.34399999999999</v>
      </c>
    </row>
    <row r="21" spans="1:17" ht="15.75" thickBot="1">
      <c r="A21" s="18"/>
      <c r="B21" s="3"/>
      <c r="C21" s="2"/>
      <c r="D21" s="1"/>
      <c r="E21" s="18"/>
      <c r="F21" s="271"/>
      <c r="J21" s="471">
        <f t="shared" si="15"/>
        <v>250</v>
      </c>
      <c r="K21" s="460">
        <f t="shared" si="8"/>
        <v>25</v>
      </c>
      <c r="L21" s="460">
        <f t="shared" si="8"/>
        <v>25</v>
      </c>
      <c r="M21" s="471">
        <f t="shared" si="10"/>
        <v>250</v>
      </c>
      <c r="N21" s="460">
        <f t="shared" si="11"/>
        <v>56.833341699999998</v>
      </c>
      <c r="O21" s="460">
        <f t="shared" si="12"/>
        <v>80.975000000000009</v>
      </c>
      <c r="P21" s="460">
        <f t="shared" si="13"/>
        <v>90.22</v>
      </c>
      <c r="Q21" s="461">
        <f t="shared" si="14"/>
        <v>97.821999999999974</v>
      </c>
    </row>
    <row r="22" spans="1:17">
      <c r="A22" s="18"/>
      <c r="B22" s="1199" t="s">
        <v>208</v>
      </c>
      <c r="C22" s="1200"/>
      <c r="D22" s="1201"/>
      <c r="E22" s="18"/>
      <c r="F22" s="249" t="s">
        <v>77</v>
      </c>
      <c r="J22" s="471">
        <f t="shared" si="15"/>
        <v>300</v>
      </c>
      <c r="K22" s="460">
        <f t="shared" si="8"/>
        <v>25</v>
      </c>
      <c r="L22" s="460">
        <f t="shared" si="8"/>
        <v>25</v>
      </c>
      <c r="M22" s="471">
        <f t="shared" si="10"/>
        <v>300</v>
      </c>
      <c r="N22" s="460">
        <f t="shared" si="11"/>
        <v>45.176676700000002</v>
      </c>
      <c r="O22" s="460">
        <f t="shared" si="12"/>
        <v>55.44</v>
      </c>
      <c r="P22" s="460">
        <f t="shared" si="13"/>
        <v>60.87</v>
      </c>
      <c r="Q22" s="461">
        <f t="shared" si="14"/>
        <v>66.300000000000011</v>
      </c>
    </row>
    <row r="23" spans="1:17">
      <c r="A23" s="18"/>
      <c r="B23" s="261"/>
      <c r="C23" s="252" t="s">
        <v>206</v>
      </c>
      <c r="D23" s="253" t="s">
        <v>207</v>
      </c>
      <c r="E23" s="18"/>
      <c r="F23" s="120" t="str">
        <f>C3</f>
        <v/>
      </c>
      <c r="J23" s="471">
        <f t="shared" si="15"/>
        <v>350</v>
      </c>
      <c r="K23" s="460">
        <f t="shared" si="8"/>
        <v>25</v>
      </c>
      <c r="L23" s="460">
        <f t="shared" si="8"/>
        <v>25</v>
      </c>
      <c r="M23" s="471">
        <f t="shared" si="10"/>
        <v>350</v>
      </c>
      <c r="N23" s="460">
        <f t="shared" si="11"/>
        <v>33.519999999999996</v>
      </c>
      <c r="O23" s="460">
        <f t="shared" si="12"/>
        <v>50</v>
      </c>
      <c r="P23" s="460">
        <f t="shared" si="13"/>
        <v>52.709999999999994</v>
      </c>
      <c r="Q23" s="461">
        <f t="shared" si="14"/>
        <v>57.070000000000007</v>
      </c>
    </row>
    <row r="24" spans="1:17">
      <c r="A24" s="18"/>
      <c r="B24" s="259">
        <v>0</v>
      </c>
      <c r="C24" s="96">
        <v>0.5</v>
      </c>
      <c r="D24" s="256">
        <v>0.5</v>
      </c>
      <c r="E24" s="18"/>
      <c r="F24" s="271"/>
      <c r="J24" s="471">
        <f t="shared" si="15"/>
        <v>400</v>
      </c>
      <c r="K24" s="460">
        <f t="shared" si="8"/>
        <v>25</v>
      </c>
      <c r="L24" s="460">
        <f t="shared" si="8"/>
        <v>25</v>
      </c>
      <c r="M24" s="471">
        <f t="shared" si="10"/>
        <v>400</v>
      </c>
      <c r="N24" s="460">
        <f t="shared" si="11"/>
        <v>30.68</v>
      </c>
      <c r="O24" s="460">
        <f t="shared" si="12"/>
        <v>37.5</v>
      </c>
      <c r="P24" s="460">
        <f t="shared" si="13"/>
        <v>38.85499999999999</v>
      </c>
      <c r="Q24" s="461">
        <f t="shared" si="14"/>
        <v>41.034999999999997</v>
      </c>
    </row>
    <row r="25" spans="1:17">
      <c r="A25" s="18"/>
      <c r="B25" s="259">
        <v>2.5999999999999999E-2</v>
      </c>
      <c r="C25" s="96">
        <v>0.75</v>
      </c>
      <c r="D25" s="256">
        <v>0.75</v>
      </c>
      <c r="E25" s="18"/>
      <c r="F25" s="271"/>
      <c r="J25" s="471">
        <f t="shared" si="15"/>
        <v>450</v>
      </c>
      <c r="K25" s="460">
        <f t="shared" si="8"/>
        <v>25</v>
      </c>
      <c r="L25" s="460">
        <f t="shared" si="8"/>
        <v>25</v>
      </c>
      <c r="M25" s="471">
        <f t="shared" si="10"/>
        <v>450</v>
      </c>
      <c r="N25" s="460">
        <f t="shared" si="11"/>
        <v>25</v>
      </c>
      <c r="O25" s="460">
        <f t="shared" si="12"/>
        <v>25</v>
      </c>
      <c r="P25" s="460">
        <f t="shared" si="13"/>
        <v>25</v>
      </c>
      <c r="Q25" s="461">
        <f t="shared" si="14"/>
        <v>25</v>
      </c>
    </row>
    <row r="26" spans="1:17">
      <c r="A26" s="277"/>
      <c r="B26" s="259">
        <v>7.5999999999999998E-2</v>
      </c>
      <c r="C26" s="96">
        <v>1</v>
      </c>
      <c r="D26" s="256">
        <v>1</v>
      </c>
      <c r="E26" s="277"/>
      <c r="F26" s="1188" t="s">
        <v>82</v>
      </c>
      <c r="G26" s="1190"/>
      <c r="J26" s="471">
        <f t="shared" si="15"/>
        <v>500</v>
      </c>
      <c r="K26" s="460">
        <f t="shared" si="8"/>
        <v>25</v>
      </c>
      <c r="L26" s="460">
        <f t="shared" si="8"/>
        <v>25</v>
      </c>
      <c r="M26" s="471">
        <f t="shared" si="10"/>
        <v>500</v>
      </c>
      <c r="N26" s="460">
        <f t="shared" si="11"/>
        <v>25</v>
      </c>
      <c r="O26" s="460">
        <f t="shared" si="12"/>
        <v>25</v>
      </c>
      <c r="P26" s="460">
        <f t="shared" si="13"/>
        <v>25</v>
      </c>
      <c r="Q26" s="461">
        <f t="shared" si="14"/>
        <v>25</v>
      </c>
    </row>
    <row r="27" spans="1:17">
      <c r="B27" s="259">
        <v>0.126</v>
      </c>
      <c r="C27" s="96">
        <v>2.2999999999999998</v>
      </c>
      <c r="D27" s="256">
        <v>1.1499999999999999</v>
      </c>
      <c r="F27" s="445" t="s">
        <v>5</v>
      </c>
      <c r="G27" s="446" t="s">
        <v>6</v>
      </c>
      <c r="J27" s="471">
        <f t="shared" si="15"/>
        <v>600</v>
      </c>
      <c r="K27" s="460">
        <f t="shared" si="8"/>
        <v>25</v>
      </c>
      <c r="L27" s="460">
        <f t="shared" si="8"/>
        <v>25</v>
      </c>
      <c r="M27" s="471">
        <f t="shared" si="10"/>
        <v>600</v>
      </c>
      <c r="N27" s="460">
        <f t="shared" si="11"/>
        <v>25</v>
      </c>
      <c r="O27" s="460">
        <f t="shared" si="12"/>
        <v>25</v>
      </c>
      <c r="P27" s="460">
        <f t="shared" si="13"/>
        <v>25</v>
      </c>
      <c r="Q27" s="461">
        <f t="shared" si="14"/>
        <v>25</v>
      </c>
    </row>
    <row r="28" spans="1:17" ht="15.75" thickBot="1">
      <c r="B28" s="259">
        <v>0.17599999999999999</v>
      </c>
      <c r="C28" s="96">
        <v>2.7</v>
      </c>
      <c r="D28" s="256">
        <v>1.34</v>
      </c>
      <c r="F28" s="447" t="s">
        <v>83</v>
      </c>
      <c r="G28" s="448" t="s">
        <v>83</v>
      </c>
      <c r="J28" s="472">
        <f>IF($E$5=1,IF(J15="","",J15),R15)</f>
        <v>800</v>
      </c>
      <c r="K28" s="462">
        <f>IF($E$5=1,IF(K15="","",K15),S15)</f>
        <v>25</v>
      </c>
      <c r="L28" s="462">
        <f>IF($E$5=1,IF(L15="","",L15),T15)</f>
        <v>25</v>
      </c>
      <c r="M28" s="472">
        <f t="shared" si="10"/>
        <v>800</v>
      </c>
      <c r="N28" s="462">
        <f t="shared" si="11"/>
        <v>25</v>
      </c>
      <c r="O28" s="462">
        <f t="shared" si="12"/>
        <v>25</v>
      </c>
      <c r="P28" s="462">
        <f t="shared" si="13"/>
        <v>25</v>
      </c>
      <c r="Q28" s="463">
        <f t="shared" si="14"/>
        <v>25</v>
      </c>
    </row>
    <row r="29" spans="1:17">
      <c r="B29" s="259">
        <v>0.22600000000000001</v>
      </c>
      <c r="C29" s="96">
        <v>3.28</v>
      </c>
      <c r="D29" s="256">
        <v>1.64</v>
      </c>
      <c r="F29" s="449">
        <f>IF(D3="",-100,IF(D3&gt;800,800,D3))</f>
        <v>-100</v>
      </c>
      <c r="G29" s="450">
        <f>IF(E3="",-100,IF(E3&gt;350, 350,E3))</f>
        <v>-100</v>
      </c>
      <c r="K29" s="473" t="s">
        <v>271</v>
      </c>
      <c r="L29" s="473" t="s">
        <v>272</v>
      </c>
      <c r="N29" s="473" t="s">
        <v>273</v>
      </c>
      <c r="O29" s="473" t="s">
        <v>274</v>
      </c>
      <c r="P29" s="473" t="s">
        <v>275</v>
      </c>
      <c r="Q29" s="473" t="s">
        <v>276</v>
      </c>
    </row>
    <row r="30" spans="1:17" ht="15.75" thickBot="1">
      <c r="B30" s="260">
        <v>0.27600000000000002</v>
      </c>
      <c r="C30" s="262">
        <v>4.18</v>
      </c>
      <c r="D30" s="258">
        <v>2.09</v>
      </c>
    </row>
    <row r="32" spans="1:17">
      <c r="B32" s="272">
        <v>1</v>
      </c>
      <c r="C32" s="272">
        <v>2</v>
      </c>
      <c r="D32" s="272">
        <v>3</v>
      </c>
      <c r="E32" s="272">
        <v>4</v>
      </c>
      <c r="F32" s="272">
        <v>5</v>
      </c>
      <c r="G32" s="272">
        <v>6</v>
      </c>
      <c r="H32" s="396">
        <v>7</v>
      </c>
      <c r="I32" s="396">
        <v>8</v>
      </c>
      <c r="J32" s="396">
        <v>9</v>
      </c>
      <c r="K32" s="396">
        <v>10</v>
      </c>
      <c r="L32" s="396">
        <v>11</v>
      </c>
      <c r="M32" s="396">
        <v>12</v>
      </c>
    </row>
    <row r="33" spans="2:26">
      <c r="B33" s="246">
        <v>30</v>
      </c>
      <c r="C33" s="246">
        <v>50</v>
      </c>
      <c r="D33" s="246">
        <v>70</v>
      </c>
      <c r="E33" s="246">
        <v>90</v>
      </c>
      <c r="F33" s="246">
        <v>110</v>
      </c>
      <c r="G33" s="246">
        <v>130</v>
      </c>
      <c r="H33" s="246">
        <v>30</v>
      </c>
      <c r="I33" s="246">
        <v>50</v>
      </c>
      <c r="J33" s="246">
        <v>70</v>
      </c>
      <c r="K33" s="246">
        <v>90</v>
      </c>
      <c r="L33" s="246">
        <v>110</v>
      </c>
      <c r="M33" s="246">
        <v>130</v>
      </c>
    </row>
    <row r="34" spans="2:26">
      <c r="B34" s="244">
        <f>IF(D3&gt;150,25,IF(D3&gt;100,-(0.1932*D3)+53.98,IF(D3&gt;=50,-(0.6438*D3)+99.04,0)))</f>
        <v>25</v>
      </c>
      <c r="C34" s="244">
        <f>IF(D3&gt;150,25,IF(D3&gt;100,-(0.3978*D3)+84.67,IF(D3&gt;=50,-(0.7*D3)+114.89,0)))</f>
        <v>25</v>
      </c>
      <c r="D34" s="244">
        <f>IF(D3&gt;450,25,IF(D3&gt;400,(0.1136*D3)+76.12,IF(D3&gt;350,-(0.0568*D3)+53.4,IF(D3&gt;200,-(0.2331333*D3)+115.1166667,IF(D3&gt;=50,-(0.4636667*D3)+161.2233333,0)))))</f>
        <v>25</v>
      </c>
      <c r="E34" s="244">
        <f>IF(D3&gt;450,25,IF(D3&gt;350,-(0.25*D3)+137.5,IF(D3&gt;300,-(0.1304*D3)+95.64,IF(D3&gt;200,-(0.4891*#REF!)+203.25,IF(D3&gt;150,-(0.4348*D3)+192.39,IF(D3&gt;=50,-(0.3859*D3)+185.055,0))))))</f>
        <v>25</v>
      </c>
      <c r="F34" s="244">
        <f>IF(D3&gt;450,25,IF(D3&gt;350,-(0.2771*D3)+149.695,IF(D3&gt;300,-(0.1632*D3)+109.83,IF(D3&gt;250,-(0.587*D3)+236.97,IF(D3&gt;=50,-(0.5054*D3)+216.57,0)))))</f>
        <v>25</v>
      </c>
      <c r="G34" s="244">
        <f>IF(D3&gt;450,25,IF(D3&gt;350,-(0.3207*D3)+169.315,IF(D3&gt;300,-(0.1846*D3)+121.68,IF(D3&gt;=50,-(0.63044*D3)+255.432,0))))</f>
        <v>25</v>
      </c>
      <c r="H34" s="244">
        <f>IF(D3&gt;150,25,IF(D3&gt;100,-(0.1932*D3)+53.98,IF(D3&gt;=50,-(0.6438*D3)+99.04,0)))</f>
        <v>25</v>
      </c>
      <c r="I34" s="244">
        <f>IF(D3&gt;150,25,IF(D3&gt;100,-(0.3978*D3)+84.67,IF(D3&gt;=50,-(0.7*D3)+114.89,0)))</f>
        <v>25</v>
      </c>
      <c r="J34" s="244">
        <f>IF(D3&gt;450,25,IF(D3&gt;350,-(0.13*D3)+83.5,IF(D3&gt;200,-(0.2738667*D3)+133.8533333,IF(D3&gt;150,-(1.0534*D3)+289.76,IF(D3&gt;=100,-(1.155*D3)+305,0)))))</f>
        <v>25</v>
      </c>
      <c r="K34" s="244">
        <f>IF(D3&gt;450,25,IF(D3&gt;400,-(0.315*D3)+166.75,IF(D3&gt;350,-(0.3584*D3)+184.11,IF(D3&gt;250,-(0.4983*D3)+233.075,IF(D3&gt;150,-(0.865*D3)+324.75,IF(D3&gt;=100,-(0.67*D3)+295.5,0))))))</f>
        <v>25</v>
      </c>
      <c r="L34" s="244">
        <f>IF(D3&gt;600,25,IF(D3&gt;500,-(0.02*D3)+37,IF(D3&gt;450,-(0.05*D3)+52,IF(D3&gt;400,-(0.41*D3)+214,IF(D3&gt;350,-(0.8878*D3)+405.12,IF(D3&gt;300,-(0.6722*D3)+329.66,IF(D3&gt;250,-(0.725*D3)+345.5,IF(D3&gt;=100,-(0.6703333*D3)+331.8333333,0))))))))</f>
        <v>25</v>
      </c>
      <c r="M34" s="244">
        <f>IF(D3&gt;600,25,IF(D3&gt;500,-(0.02*D3)+37,IF(D3&gt;450,-(0.14*D3)+97,IF(D3&gt;400,-(0.3812*D3)+205.54,IF(D3&gt;350,-(1.0288*D3)+464.58,IF(D3&gt;300,-(0.75*D3)+367,IF(D3&gt;150,-(0.7472*D3)+366.16,IF(D3&gt;=100,-(1.2984*D3)+448.84,0))))))))</f>
        <v>25</v>
      </c>
    </row>
    <row r="36" spans="2:26">
      <c r="H36" s="277"/>
      <c r="I36" s="45"/>
      <c r="J36" s="121"/>
      <c r="K36" s="121"/>
      <c r="L36" s="121"/>
      <c r="M36" s="121"/>
      <c r="N36" s="121"/>
      <c r="O36" s="121"/>
      <c r="P36" s="121"/>
      <c r="Q36" s="121"/>
      <c r="R36" s="121"/>
      <c r="S36" s="121"/>
      <c r="T36" s="121"/>
      <c r="U36" s="121"/>
      <c r="V36" s="45"/>
    </row>
    <row r="37" spans="2:26">
      <c r="H37" s="45"/>
      <c r="I37" s="277"/>
      <c r="J37" s="439"/>
      <c r="K37" s="439"/>
      <c r="L37" s="439"/>
      <c r="M37" s="439"/>
      <c r="N37" s="439"/>
      <c r="O37" s="439"/>
      <c r="P37" s="440"/>
      <c r="Q37" s="440"/>
      <c r="R37" s="440"/>
      <c r="S37" s="440"/>
      <c r="T37" s="440"/>
      <c r="U37" s="440"/>
      <c r="V37" s="45"/>
    </row>
    <row r="38" spans="2:26">
      <c r="H38" s="277"/>
      <c r="I38" s="96"/>
      <c r="J38" s="441"/>
      <c r="K38" s="441"/>
      <c r="L38" s="441"/>
      <c r="M38" s="441"/>
      <c r="N38" s="441"/>
      <c r="O38" s="441"/>
      <c r="P38" s="441"/>
      <c r="Q38" s="441"/>
      <c r="R38" s="441"/>
      <c r="S38" s="441"/>
      <c r="T38" s="441"/>
      <c r="U38" s="441"/>
      <c r="V38" s="442"/>
      <c r="Z38" s="3"/>
    </row>
    <row r="39" spans="2:26">
      <c r="H39" s="277"/>
      <c r="I39" s="96"/>
      <c r="J39" s="441"/>
      <c r="K39" s="441"/>
      <c r="L39" s="441"/>
      <c r="M39" s="441"/>
      <c r="N39" s="441"/>
      <c r="O39" s="441"/>
      <c r="P39" s="441"/>
      <c r="Q39" s="441"/>
      <c r="R39" s="441"/>
      <c r="S39" s="441"/>
      <c r="T39" s="441"/>
      <c r="U39" s="441"/>
      <c r="V39" s="442"/>
      <c r="Z39" s="3"/>
    </row>
    <row r="40" spans="2:26">
      <c r="H40" s="277"/>
      <c r="I40" s="96"/>
      <c r="J40" s="441"/>
      <c r="K40" s="441"/>
      <c r="L40" s="441"/>
      <c r="M40" s="441"/>
      <c r="N40" s="441"/>
      <c r="O40" s="441"/>
      <c r="P40" s="441"/>
      <c r="Q40" s="441"/>
      <c r="R40" s="441"/>
      <c r="S40" s="441"/>
      <c r="T40" s="441"/>
      <c r="U40" s="441"/>
      <c r="V40" s="442"/>
      <c r="Z40" s="3"/>
    </row>
    <row r="41" spans="2:26">
      <c r="H41" s="277"/>
      <c r="I41" s="96"/>
      <c r="J41" s="441"/>
      <c r="K41" s="441"/>
      <c r="L41" s="441"/>
      <c r="M41" s="441"/>
      <c r="N41" s="441"/>
      <c r="O41" s="441"/>
      <c r="P41" s="441"/>
      <c r="Q41" s="441"/>
      <c r="R41" s="441"/>
      <c r="S41" s="441"/>
      <c r="T41" s="441"/>
      <c r="U41" s="441"/>
      <c r="V41" s="442"/>
      <c r="Z41" s="3"/>
    </row>
    <row r="42" spans="2:26">
      <c r="B42" s="120"/>
      <c r="H42" s="277"/>
      <c r="I42" s="96"/>
      <c r="J42" s="441"/>
      <c r="K42" s="441"/>
      <c r="L42" s="441"/>
      <c r="M42" s="441"/>
      <c r="N42" s="441"/>
      <c r="O42" s="441"/>
      <c r="P42" s="441"/>
      <c r="Q42" s="441"/>
      <c r="R42" s="441"/>
      <c r="S42" s="441"/>
      <c r="T42" s="441"/>
      <c r="U42" s="441"/>
      <c r="V42" s="442"/>
      <c r="Z42" s="3"/>
    </row>
    <row r="43" spans="2:26">
      <c r="B43" s="120"/>
      <c r="H43" s="277"/>
      <c r="I43" s="96"/>
      <c r="J43" s="441"/>
      <c r="K43" s="441"/>
      <c r="L43" s="441"/>
      <c r="M43" s="441"/>
      <c r="N43" s="441"/>
      <c r="O43" s="441"/>
      <c r="P43" s="441"/>
      <c r="Q43" s="441"/>
      <c r="R43" s="441"/>
      <c r="S43" s="441"/>
      <c r="T43" s="441"/>
      <c r="U43" s="441"/>
      <c r="V43" s="442"/>
      <c r="Z43" s="3"/>
    </row>
    <row r="44" spans="2:26">
      <c r="H44" s="277"/>
      <c r="I44" s="96"/>
      <c r="J44" s="441"/>
      <c r="K44" s="441"/>
      <c r="L44" s="441"/>
      <c r="M44" s="441"/>
      <c r="N44" s="441"/>
      <c r="O44" s="441"/>
      <c r="P44" s="441"/>
      <c r="Q44" s="441"/>
      <c r="R44" s="441"/>
      <c r="S44" s="441"/>
      <c r="T44" s="441"/>
      <c r="U44" s="441"/>
      <c r="V44" s="442"/>
      <c r="Z44" s="3"/>
    </row>
    <row r="45" spans="2:26">
      <c r="H45" s="277"/>
      <c r="I45" s="96"/>
      <c r="J45" s="441"/>
      <c r="K45" s="441"/>
      <c r="L45" s="441"/>
      <c r="M45" s="441"/>
      <c r="N45" s="441"/>
      <c r="O45" s="441"/>
      <c r="P45" s="441"/>
      <c r="Q45" s="441"/>
      <c r="R45" s="441"/>
      <c r="S45" s="441"/>
      <c r="T45" s="441"/>
      <c r="U45" s="441"/>
      <c r="V45" s="442"/>
      <c r="Z45" s="3"/>
    </row>
    <row r="46" spans="2:26">
      <c r="H46" s="277"/>
      <c r="I46" s="96"/>
      <c r="J46" s="441"/>
      <c r="K46" s="441"/>
      <c r="L46" s="441"/>
      <c r="M46" s="441"/>
      <c r="N46" s="441"/>
      <c r="O46" s="441"/>
      <c r="P46" s="441"/>
      <c r="Q46" s="441"/>
      <c r="R46" s="441"/>
      <c r="S46" s="441"/>
      <c r="T46" s="441"/>
      <c r="U46" s="441"/>
      <c r="V46" s="442"/>
      <c r="Z46" s="3"/>
    </row>
    <row r="47" spans="2:26">
      <c r="H47" s="277"/>
      <c r="I47" s="96"/>
      <c r="J47" s="441"/>
      <c r="K47" s="441"/>
      <c r="L47" s="441"/>
      <c r="M47" s="441"/>
      <c r="N47" s="441"/>
      <c r="O47" s="441"/>
      <c r="P47" s="441"/>
      <c r="Q47" s="441"/>
      <c r="R47" s="441"/>
      <c r="S47" s="441"/>
      <c r="T47" s="441"/>
      <c r="U47" s="441"/>
      <c r="V47" s="442"/>
      <c r="Z47" s="3"/>
    </row>
    <row r="48" spans="2:26">
      <c r="D48" s="121"/>
      <c r="E48" s="179"/>
      <c r="H48" s="277"/>
      <c r="I48" s="96"/>
      <c r="J48" s="441"/>
      <c r="K48" s="441"/>
      <c r="L48" s="441"/>
      <c r="M48" s="441"/>
      <c r="N48" s="441"/>
      <c r="O48" s="441"/>
      <c r="P48" s="441"/>
      <c r="Q48" s="441"/>
      <c r="R48" s="441"/>
      <c r="S48" s="441"/>
      <c r="T48" s="441"/>
      <c r="U48" s="441"/>
      <c r="V48" s="442"/>
      <c r="Z48" s="3"/>
    </row>
    <row r="49" spans="2:26">
      <c r="B49" s="83"/>
      <c r="C49" s="83"/>
      <c r="D49" s="127"/>
      <c r="E49" s="143"/>
      <c r="H49" s="277"/>
      <c r="I49" s="96"/>
      <c r="J49" s="441"/>
      <c r="K49" s="441"/>
      <c r="L49" s="441"/>
      <c r="M49" s="441"/>
      <c r="N49" s="441"/>
      <c r="O49" s="441"/>
      <c r="P49" s="441"/>
      <c r="Q49" s="441"/>
      <c r="R49" s="441"/>
      <c r="S49" s="441"/>
      <c r="T49" s="441"/>
      <c r="U49" s="441"/>
      <c r="V49" s="442"/>
      <c r="Z49" s="3"/>
    </row>
    <row r="50" spans="2:26">
      <c r="B50" s="83"/>
      <c r="C50" s="83"/>
      <c r="D50" s="127"/>
      <c r="E50" s="143"/>
      <c r="H50" s="277"/>
      <c r="I50" s="96"/>
      <c r="J50" s="441"/>
      <c r="K50" s="441"/>
      <c r="L50" s="441"/>
      <c r="M50" s="441"/>
      <c r="N50" s="441"/>
      <c r="O50" s="441"/>
      <c r="P50" s="441"/>
      <c r="Q50" s="441"/>
      <c r="R50" s="441"/>
      <c r="S50" s="441"/>
      <c r="T50" s="441"/>
      <c r="U50" s="441"/>
      <c r="V50" s="442"/>
      <c r="Z50" s="3"/>
    </row>
    <row r="51" spans="2:26">
      <c r="B51" s="83"/>
      <c r="C51" s="83"/>
      <c r="D51" s="328"/>
      <c r="E51" s="250"/>
      <c r="H51" s="277"/>
      <c r="I51" s="96"/>
      <c r="J51" s="441"/>
      <c r="K51" s="441"/>
      <c r="L51" s="441"/>
      <c r="M51" s="441"/>
      <c r="N51" s="441"/>
      <c r="O51" s="441"/>
      <c r="P51" s="441"/>
      <c r="Q51" s="441"/>
      <c r="R51" s="441"/>
      <c r="S51" s="441"/>
      <c r="T51" s="441"/>
      <c r="U51" s="441"/>
      <c r="V51" s="442"/>
      <c r="Z51" s="3"/>
    </row>
    <row r="52" spans="2:26">
      <c r="B52" s="349"/>
      <c r="C52" s="349"/>
      <c r="D52" s="56"/>
      <c r="E52" s="56"/>
      <c r="H52" s="277"/>
      <c r="I52" s="96"/>
      <c r="J52" s="441"/>
      <c r="K52" s="441"/>
      <c r="L52" s="441"/>
      <c r="M52" s="441"/>
      <c r="N52" s="441"/>
      <c r="O52" s="441"/>
      <c r="P52" s="441"/>
      <c r="Q52" s="441"/>
      <c r="R52" s="441"/>
      <c r="S52" s="441"/>
      <c r="T52" s="441"/>
      <c r="U52" s="441"/>
      <c r="V52" s="442"/>
      <c r="Z52" s="3"/>
    </row>
    <row r="53" spans="2:26">
      <c r="B53" s="129"/>
      <c r="C53" s="129"/>
      <c r="D53" s="443"/>
      <c r="E53" s="179"/>
      <c r="H53" s="277"/>
      <c r="I53" s="96"/>
      <c r="J53" s="441"/>
      <c r="K53" s="441"/>
      <c r="L53" s="441"/>
      <c r="M53" s="441"/>
      <c r="N53" s="441"/>
      <c r="O53" s="441"/>
      <c r="P53" s="441"/>
      <c r="Q53" s="441"/>
      <c r="R53" s="441"/>
      <c r="S53" s="441"/>
      <c r="T53" s="441"/>
      <c r="U53" s="441"/>
      <c r="V53" s="442"/>
      <c r="Z53" s="3"/>
    </row>
    <row r="54" spans="2:26">
      <c r="B54" s="130"/>
      <c r="C54" s="130"/>
      <c r="D54" s="130"/>
      <c r="E54" s="143"/>
      <c r="H54" s="277"/>
      <c r="I54" s="96"/>
      <c r="J54" s="441"/>
      <c r="K54" s="441"/>
      <c r="L54" s="441"/>
      <c r="M54" s="441"/>
      <c r="N54" s="441"/>
      <c r="O54" s="441"/>
      <c r="P54" s="441"/>
      <c r="Q54" s="441"/>
      <c r="R54" s="441"/>
      <c r="S54" s="441"/>
      <c r="T54" s="441"/>
      <c r="U54" s="441"/>
      <c r="V54" s="442"/>
      <c r="Z54" s="3"/>
    </row>
    <row r="55" spans="2:26">
      <c r="B55" s="131"/>
      <c r="C55" s="131"/>
      <c r="D55" s="131"/>
      <c r="E55" s="143"/>
      <c r="H55" s="277"/>
      <c r="I55" s="96"/>
      <c r="J55" s="441"/>
      <c r="K55" s="441"/>
      <c r="L55" s="441"/>
      <c r="M55" s="441"/>
      <c r="N55" s="441"/>
      <c r="O55" s="441"/>
      <c r="P55" s="441"/>
      <c r="Q55" s="441"/>
      <c r="R55" s="441"/>
      <c r="S55" s="441"/>
      <c r="T55" s="441"/>
      <c r="U55" s="441"/>
      <c r="V55" s="442"/>
      <c r="Z55" s="3"/>
    </row>
    <row r="56" spans="2:26">
      <c r="B56" s="128"/>
      <c r="C56" s="128"/>
      <c r="D56" s="444"/>
      <c r="E56" s="250"/>
      <c r="H56" s="277"/>
      <c r="I56" s="96"/>
      <c r="J56" s="441"/>
      <c r="K56" s="441"/>
      <c r="L56" s="441"/>
      <c r="M56" s="441"/>
      <c r="N56" s="441"/>
      <c r="O56" s="441"/>
      <c r="P56" s="441"/>
      <c r="Q56" s="441"/>
      <c r="R56" s="441"/>
      <c r="S56" s="441"/>
      <c r="T56" s="441"/>
      <c r="U56" s="441"/>
      <c r="V56" s="442"/>
      <c r="Z56" s="3"/>
    </row>
    <row r="57" spans="2:26">
      <c r="B57" s="44"/>
      <c r="C57" s="44"/>
      <c r="D57" s="44"/>
      <c r="E57" s="44"/>
      <c r="H57" s="277"/>
      <c r="I57" s="96"/>
      <c r="J57" s="441"/>
      <c r="K57" s="441"/>
      <c r="L57" s="441"/>
      <c r="M57" s="441"/>
      <c r="N57" s="441"/>
      <c r="O57" s="441"/>
      <c r="P57" s="441"/>
      <c r="Q57" s="441"/>
      <c r="R57" s="441"/>
      <c r="S57" s="441"/>
      <c r="T57" s="441"/>
      <c r="U57" s="441"/>
      <c r="V57" s="442"/>
      <c r="Z57" s="3"/>
    </row>
    <row r="58" spans="2:26">
      <c r="H58" s="277"/>
      <c r="I58" s="96"/>
      <c r="J58" s="441"/>
      <c r="K58" s="441"/>
      <c r="L58" s="441"/>
      <c r="M58" s="441"/>
      <c r="N58" s="441"/>
      <c r="O58" s="441"/>
      <c r="P58" s="441"/>
      <c r="Q58" s="441"/>
      <c r="R58" s="441"/>
      <c r="S58" s="441"/>
      <c r="T58" s="441"/>
      <c r="U58" s="441"/>
      <c r="V58" s="442"/>
      <c r="Z58" s="3"/>
    </row>
    <row r="59" spans="2:26">
      <c r="B59" s="133"/>
      <c r="C59" s="133"/>
      <c r="D59" s="116"/>
      <c r="H59" s="277"/>
      <c r="I59" s="96"/>
      <c r="J59" s="441"/>
      <c r="K59" s="441"/>
      <c r="L59" s="441"/>
      <c r="M59" s="441"/>
      <c r="N59" s="441"/>
      <c r="O59" s="441"/>
      <c r="P59" s="441"/>
      <c r="Q59" s="441"/>
      <c r="R59" s="441"/>
      <c r="S59" s="441"/>
      <c r="T59" s="441"/>
      <c r="U59" s="441"/>
      <c r="V59" s="442"/>
      <c r="Z59" s="3"/>
    </row>
    <row r="60" spans="2:26">
      <c r="B60" s="132"/>
      <c r="C60" s="132"/>
      <c r="D60" s="132"/>
      <c r="H60" s="277"/>
      <c r="I60" s="96"/>
      <c r="J60" s="441"/>
      <c r="K60" s="441"/>
      <c r="L60" s="441"/>
      <c r="M60" s="441"/>
      <c r="N60" s="441"/>
      <c r="O60" s="441"/>
      <c r="P60" s="441"/>
      <c r="Q60" s="441"/>
      <c r="R60" s="441"/>
      <c r="S60" s="441"/>
      <c r="T60" s="441"/>
      <c r="U60" s="441"/>
      <c r="V60" s="442"/>
      <c r="Z60" s="3"/>
    </row>
    <row r="61" spans="2:26">
      <c r="B61" s="132"/>
      <c r="C61" s="132"/>
      <c r="D61" s="132"/>
      <c r="H61" s="277"/>
      <c r="I61" s="96"/>
      <c r="J61" s="441"/>
      <c r="K61" s="441"/>
      <c r="L61" s="441"/>
      <c r="M61" s="441"/>
      <c r="N61" s="441"/>
      <c r="O61" s="441"/>
      <c r="P61" s="441"/>
      <c r="Q61" s="441"/>
      <c r="R61" s="441"/>
      <c r="S61" s="441"/>
      <c r="T61" s="441"/>
      <c r="U61" s="441"/>
      <c r="V61" s="442"/>
      <c r="Z61" s="3"/>
    </row>
    <row r="62" spans="2:26">
      <c r="B62" s="251"/>
      <c r="C62" s="251"/>
      <c r="D62" s="73"/>
      <c r="E62" s="73"/>
    </row>
    <row r="63" spans="2:26">
      <c r="B63" s="137"/>
      <c r="D63" s="18"/>
      <c r="E63" s="18"/>
    </row>
    <row r="64" spans="2:26">
      <c r="B64" s="251"/>
      <c r="C64" s="281"/>
      <c r="D64" s="282"/>
      <c r="E64" s="283"/>
      <c r="F64" s="280"/>
      <c r="Y64" s="18"/>
      <c r="Z64" s="3"/>
    </row>
    <row r="65" spans="2:26">
      <c r="B65" s="137"/>
      <c r="C65" s="281"/>
      <c r="D65" s="282"/>
      <c r="E65" s="283"/>
      <c r="F65" s="280"/>
      <c r="Y65" s="18"/>
      <c r="Z65" s="3"/>
    </row>
    <row r="66" spans="2:26">
      <c r="C66" s="281"/>
      <c r="D66" s="282"/>
      <c r="E66" s="283"/>
      <c r="F66" s="280"/>
      <c r="Y66" s="18"/>
      <c r="Z66" s="3"/>
    </row>
    <row r="67" spans="2:26">
      <c r="B67" s="73"/>
      <c r="C67" s="281"/>
      <c r="D67" s="282"/>
      <c r="E67" s="283"/>
      <c r="F67" s="280"/>
      <c r="Y67" s="18"/>
      <c r="Z67" s="3"/>
    </row>
    <row r="68" spans="2:26">
      <c r="C68" s="281"/>
      <c r="D68" s="282"/>
      <c r="E68" s="283"/>
      <c r="F68" s="280"/>
      <c r="Y68" s="18"/>
      <c r="Z68" s="3"/>
    </row>
    <row r="69" spans="2:26">
      <c r="C69" s="281"/>
      <c r="D69" s="282"/>
      <c r="E69" s="283"/>
      <c r="F69" s="280"/>
      <c r="Y69" s="18"/>
      <c r="Z69" s="3"/>
    </row>
    <row r="70" spans="2:26">
      <c r="C70" s="281"/>
      <c r="D70" s="282"/>
      <c r="E70" s="283"/>
      <c r="F70" s="280"/>
      <c r="Y70" s="18"/>
      <c r="Z70" s="3"/>
    </row>
    <row r="71" spans="2:26">
      <c r="C71" s="281"/>
      <c r="D71" s="282"/>
      <c r="E71" s="283"/>
      <c r="F71" s="280"/>
      <c r="Y71" s="18"/>
      <c r="Z71" s="3"/>
    </row>
    <row r="72" spans="2:26">
      <c r="C72" s="281"/>
      <c r="D72" s="282"/>
      <c r="E72" s="283"/>
      <c r="F72" s="280"/>
      <c r="Y72" s="18"/>
      <c r="Z72" s="3"/>
    </row>
    <row r="73" spans="2:26">
      <c r="C73" s="281"/>
      <c r="D73" s="282"/>
      <c r="E73" s="283"/>
      <c r="F73" s="280"/>
      <c r="Y73" s="18"/>
      <c r="Z73" s="3"/>
    </row>
    <row r="74" spans="2:26">
      <c r="C74" s="281"/>
      <c r="D74" s="282"/>
      <c r="E74" s="283"/>
      <c r="F74" s="280"/>
      <c r="Y74" s="18"/>
      <c r="Z74" s="3"/>
    </row>
    <row r="75" spans="2:26">
      <c r="C75" s="281"/>
      <c r="D75" s="282"/>
      <c r="E75" s="283"/>
      <c r="F75" s="280"/>
      <c r="Y75" s="18"/>
      <c r="Z75" s="3"/>
    </row>
    <row r="76" spans="2:26">
      <c r="C76" s="281"/>
      <c r="D76" s="282"/>
      <c r="E76" s="283"/>
      <c r="F76" s="280"/>
      <c r="Y76" s="18"/>
      <c r="Z76" s="3"/>
    </row>
    <row r="77" spans="2:26">
      <c r="C77" s="281"/>
      <c r="D77" s="282"/>
      <c r="E77" s="283"/>
      <c r="F77" s="280"/>
      <c r="Y77" s="18"/>
      <c r="Z77" s="3"/>
    </row>
    <row r="78" spans="2:26">
      <c r="C78" s="281"/>
      <c r="D78" s="282"/>
      <c r="E78" s="283"/>
      <c r="F78" s="280"/>
      <c r="Y78" s="18"/>
      <c r="Z78" s="3"/>
    </row>
    <row r="79" spans="2:26">
      <c r="C79" s="281"/>
      <c r="D79" s="282"/>
      <c r="E79" s="283"/>
      <c r="F79" s="280"/>
      <c r="Y79" s="18"/>
      <c r="Z79" s="3"/>
    </row>
    <row r="80" spans="2:26">
      <c r="C80" s="281"/>
      <c r="D80" s="282"/>
      <c r="E80" s="283"/>
      <c r="F80" s="280"/>
      <c r="Y80" s="18"/>
      <c r="Z80" s="3"/>
    </row>
    <row r="81" spans="3:26">
      <c r="C81" s="281"/>
      <c r="D81" s="282"/>
      <c r="E81" s="283"/>
      <c r="F81" s="280"/>
      <c r="Y81" s="18"/>
      <c r="Z81" s="3"/>
    </row>
    <row r="82" spans="3:26">
      <c r="C82" s="281"/>
      <c r="D82" s="282"/>
      <c r="E82" s="283"/>
      <c r="F82" s="280"/>
      <c r="Y82" s="18"/>
      <c r="Z82" s="3"/>
    </row>
    <row r="83" spans="3:26">
      <c r="C83" s="281"/>
      <c r="D83" s="282"/>
      <c r="E83" s="283"/>
      <c r="F83" s="280"/>
      <c r="Y83" s="18"/>
      <c r="Z83" s="3"/>
    </row>
    <row r="84" spans="3:26">
      <c r="C84" s="281"/>
      <c r="D84" s="282"/>
      <c r="E84" s="283"/>
      <c r="F84" s="280"/>
      <c r="Y84" s="18"/>
      <c r="Z84" s="3"/>
    </row>
    <row r="85" spans="3:26">
      <c r="C85" s="281"/>
      <c r="D85" s="282"/>
      <c r="E85" s="283"/>
      <c r="F85" s="280"/>
      <c r="Y85" s="18"/>
      <c r="Z85" s="3"/>
    </row>
    <row r="86" spans="3:26">
      <c r="C86" s="281"/>
      <c r="D86" s="282"/>
      <c r="E86" s="283"/>
      <c r="F86" s="280"/>
      <c r="Y86" s="18"/>
      <c r="Z86" s="3"/>
    </row>
    <row r="87" spans="3:26">
      <c r="C87" s="281"/>
      <c r="D87" s="282"/>
      <c r="E87" s="283"/>
      <c r="F87" s="280"/>
      <c r="Y87" s="18"/>
      <c r="Z87" s="3"/>
    </row>
  </sheetData>
  <mergeCells count="13">
    <mergeCell ref="S2:X2"/>
    <mergeCell ref="R1:X1"/>
    <mergeCell ref="H2:I2"/>
    <mergeCell ref="F26:G26"/>
    <mergeCell ref="J1:P1"/>
    <mergeCell ref="K2:P2"/>
    <mergeCell ref="J16:P16"/>
    <mergeCell ref="C4:D4"/>
    <mergeCell ref="B14:C14"/>
    <mergeCell ref="E14:F14"/>
    <mergeCell ref="B22:D22"/>
    <mergeCell ref="C5:D5"/>
    <mergeCell ref="E6:F6"/>
  </mergeCell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dimension ref="A1:AN96"/>
  <sheetViews>
    <sheetView workbookViewId="0">
      <selection activeCell="F60" sqref="F60:AH60"/>
    </sheetView>
  </sheetViews>
  <sheetFormatPr defaultColWidth="2.7109375" defaultRowHeight="15"/>
  <cols>
    <col min="1" max="1" width="0.85546875" customWidth="1"/>
    <col min="37" max="37" width="0.85546875" customWidth="1"/>
    <col min="39" max="40" width="2.7109375" style="18" hidden="1" customWidth="1"/>
  </cols>
  <sheetData>
    <row r="1" spans="1:40" ht="6" customHeight="1">
      <c r="A1" s="46"/>
      <c r="B1" s="19"/>
      <c r="C1" s="19"/>
      <c r="D1" s="19"/>
      <c r="E1" s="19"/>
      <c r="F1" s="19"/>
      <c r="G1" s="19"/>
      <c r="H1" s="19"/>
      <c r="I1" s="19"/>
      <c r="J1" s="19"/>
      <c r="K1" s="19"/>
      <c r="L1" s="19"/>
      <c r="M1" s="19"/>
      <c r="N1" s="19"/>
      <c r="O1" s="19"/>
      <c r="P1" s="19"/>
      <c r="Q1" s="19"/>
      <c r="R1" s="19"/>
      <c r="S1" s="19"/>
      <c r="T1" s="19"/>
      <c r="U1" s="19"/>
      <c r="V1" s="19"/>
      <c r="W1" s="19"/>
      <c r="X1" s="19"/>
      <c r="Y1" s="19"/>
      <c r="Z1" s="19"/>
      <c r="AA1" s="19"/>
      <c r="AB1" s="19"/>
      <c r="AC1" s="19"/>
      <c r="AD1" s="19"/>
      <c r="AE1" s="19"/>
      <c r="AF1" s="19"/>
      <c r="AG1" s="19"/>
      <c r="AH1" s="19"/>
      <c r="AI1" s="19"/>
      <c r="AJ1" s="19"/>
      <c r="AK1" s="47"/>
      <c r="AM1" s="488"/>
      <c r="AN1" s="488"/>
    </row>
    <row r="2" spans="1:40" ht="9.9499999999999993" customHeight="1">
      <c r="A2" s="48"/>
      <c r="B2" s="492" t="s">
        <v>15</v>
      </c>
      <c r="C2" s="492"/>
      <c r="D2" s="492"/>
      <c r="E2" s="492"/>
      <c r="F2" s="492"/>
      <c r="G2" s="492"/>
      <c r="H2" s="492"/>
      <c r="I2" s="492"/>
      <c r="J2" s="492"/>
      <c r="K2" s="492"/>
      <c r="L2" s="492"/>
      <c r="M2" s="492"/>
      <c r="N2" s="492"/>
      <c r="O2" s="492"/>
      <c r="P2" s="492"/>
      <c r="Q2" s="492"/>
      <c r="R2" s="492"/>
      <c r="S2" s="492"/>
      <c r="T2" s="492"/>
      <c r="U2" s="492"/>
      <c r="V2" s="492"/>
      <c r="W2" s="492"/>
      <c r="X2" s="492"/>
      <c r="Y2" s="492"/>
      <c r="Z2" s="492"/>
      <c r="AA2" s="492"/>
      <c r="AB2" s="492"/>
      <c r="AC2" s="492"/>
      <c r="AD2" s="492"/>
      <c r="AE2" s="492"/>
      <c r="AF2" s="492"/>
      <c r="AG2" s="492"/>
      <c r="AH2" s="492"/>
      <c r="AI2" s="492"/>
      <c r="AJ2" s="492"/>
      <c r="AK2" s="49"/>
      <c r="AM2" s="488"/>
      <c r="AN2" s="488"/>
    </row>
    <row r="3" spans="1:40" ht="9.9499999999999993" customHeight="1">
      <c r="A3" s="48"/>
      <c r="B3" s="492"/>
      <c r="C3" s="492"/>
      <c r="D3" s="492"/>
      <c r="E3" s="492"/>
      <c r="F3" s="492"/>
      <c r="G3" s="492"/>
      <c r="H3" s="492"/>
      <c r="I3" s="492"/>
      <c r="J3" s="492"/>
      <c r="K3" s="492"/>
      <c r="L3" s="492"/>
      <c r="M3" s="492"/>
      <c r="N3" s="492"/>
      <c r="O3" s="492"/>
      <c r="P3" s="492"/>
      <c r="Q3" s="492"/>
      <c r="R3" s="492"/>
      <c r="S3" s="492"/>
      <c r="T3" s="492"/>
      <c r="U3" s="492"/>
      <c r="V3" s="492"/>
      <c r="W3" s="492"/>
      <c r="X3" s="492"/>
      <c r="Y3" s="492"/>
      <c r="Z3" s="492"/>
      <c r="AA3" s="492"/>
      <c r="AB3" s="492"/>
      <c r="AC3" s="492"/>
      <c r="AD3" s="492"/>
      <c r="AE3" s="492"/>
      <c r="AF3" s="492"/>
      <c r="AG3" s="492"/>
      <c r="AH3" s="492"/>
      <c r="AI3" s="492"/>
      <c r="AJ3" s="492"/>
      <c r="AK3" s="49"/>
      <c r="AM3" s="488"/>
      <c r="AN3" s="488"/>
    </row>
    <row r="4" spans="1:40" ht="12" customHeight="1">
      <c r="A4" s="48"/>
      <c r="B4" s="170"/>
      <c r="C4" s="170"/>
      <c r="D4" s="170"/>
      <c r="E4" s="175"/>
      <c r="F4" s="175" t="s">
        <v>0</v>
      </c>
      <c r="G4" s="1216" t="str">
        <f>IF('Warrant 1'!G4:O4="","",'Warrant 1'!G4:O4)</f>
        <v/>
      </c>
      <c r="H4" s="1216"/>
      <c r="I4" s="1216"/>
      <c r="J4" s="1216"/>
      <c r="K4" s="1216"/>
      <c r="L4" s="1216"/>
      <c r="M4" s="1216"/>
      <c r="N4" s="1216"/>
      <c r="O4" s="1216"/>
      <c r="P4" s="175"/>
      <c r="Q4" s="175"/>
      <c r="R4" s="170"/>
      <c r="S4" s="170"/>
      <c r="T4" s="170"/>
      <c r="U4" s="170"/>
      <c r="V4" s="170"/>
      <c r="W4" s="170"/>
      <c r="X4" s="175" t="s">
        <v>16</v>
      </c>
      <c r="Y4" s="1216" t="str">
        <f>IF('Warrant 1'!Y4:AI4="","",'Warrant 1'!Y4:AI4)</f>
        <v/>
      </c>
      <c r="Z4" s="1216"/>
      <c r="AA4" s="1216"/>
      <c r="AB4" s="1216"/>
      <c r="AC4" s="1216"/>
      <c r="AD4" s="1216"/>
      <c r="AE4" s="1216"/>
      <c r="AF4" s="1216"/>
      <c r="AG4" s="1216"/>
      <c r="AH4" s="1216"/>
      <c r="AI4" s="1216"/>
      <c r="AJ4" s="170"/>
      <c r="AK4" s="49"/>
      <c r="AM4" s="488"/>
      <c r="AN4" s="488"/>
    </row>
    <row r="5" spans="1:40" ht="12" customHeight="1">
      <c r="A5" s="48"/>
      <c r="B5" s="170"/>
      <c r="C5" s="170"/>
      <c r="D5" s="170"/>
      <c r="E5" s="175"/>
      <c r="F5" s="175" t="s">
        <v>1</v>
      </c>
      <c r="G5" s="1217" t="str">
        <f>IF('Warrant 1'!G5:O5="","",'Warrant 1'!G5:O5)</f>
        <v/>
      </c>
      <c r="H5" s="1217"/>
      <c r="I5" s="1217"/>
      <c r="J5" s="1217"/>
      <c r="K5" s="1217"/>
      <c r="L5" s="1217"/>
      <c r="M5" s="1217"/>
      <c r="N5" s="1217"/>
      <c r="O5" s="1217"/>
      <c r="P5" s="175"/>
      <c r="Q5" s="175"/>
      <c r="R5" s="175"/>
      <c r="S5" s="175"/>
      <c r="T5" s="175"/>
      <c r="U5" s="175"/>
      <c r="V5" s="175"/>
      <c r="W5" s="175"/>
      <c r="X5" s="175" t="s">
        <v>3</v>
      </c>
      <c r="Y5" s="1218" t="str">
        <f>IF('Warrant 1'!Y5:AI5="","",'Warrant 1'!Y5:AI5)</f>
        <v/>
      </c>
      <c r="Z5" s="1216"/>
      <c r="AA5" s="1216"/>
      <c r="AB5" s="1216"/>
      <c r="AC5" s="1216"/>
      <c r="AD5" s="1216"/>
      <c r="AE5" s="1216"/>
      <c r="AF5" s="1216"/>
      <c r="AG5" s="1216"/>
      <c r="AH5" s="1216"/>
      <c r="AI5" s="1216"/>
      <c r="AJ5" s="170"/>
      <c r="AK5" s="49"/>
      <c r="AM5" s="488"/>
      <c r="AN5" s="488"/>
    </row>
    <row r="6" spans="1:40" ht="12" customHeight="1">
      <c r="A6" s="48"/>
      <c r="B6" s="170"/>
      <c r="C6" s="170"/>
      <c r="D6" s="170"/>
      <c r="E6" s="175"/>
      <c r="F6" s="175" t="s">
        <v>2</v>
      </c>
      <c r="G6" s="1217" t="str">
        <f>IF('Warrant 1'!G6:O6="","",'Warrant 1'!G6:O6)</f>
        <v/>
      </c>
      <c r="H6" s="1217"/>
      <c r="I6" s="1217"/>
      <c r="J6" s="1217"/>
      <c r="K6" s="1217"/>
      <c r="L6" s="1217"/>
      <c r="M6" s="1217"/>
      <c r="N6" s="1217"/>
      <c r="O6" s="1217"/>
      <c r="P6" s="175"/>
      <c r="Q6" s="175"/>
      <c r="R6" s="175"/>
      <c r="S6" s="175"/>
      <c r="T6" s="175"/>
      <c r="U6" s="175"/>
      <c r="V6" s="175"/>
      <c r="W6" s="175"/>
      <c r="X6" s="175" t="s">
        <v>17</v>
      </c>
      <c r="Y6" s="1217" t="str">
        <f>IF('Warrant 1'!Y6:AI6="","",'Warrant 1'!Y6:AI6)</f>
        <v/>
      </c>
      <c r="Z6" s="1217"/>
      <c r="AA6" s="1217"/>
      <c r="AB6" s="1217"/>
      <c r="AC6" s="1217"/>
      <c r="AD6" s="1217"/>
      <c r="AE6" s="1217"/>
      <c r="AF6" s="1217"/>
      <c r="AG6" s="1217"/>
      <c r="AH6" s="1217"/>
      <c r="AI6" s="1217"/>
      <c r="AJ6" s="170"/>
      <c r="AK6" s="49"/>
      <c r="AM6" s="488"/>
      <c r="AN6" s="488"/>
    </row>
    <row r="7" spans="1:40" ht="12" customHeight="1">
      <c r="A7" s="48"/>
      <c r="B7" s="170"/>
      <c r="C7" s="170"/>
      <c r="D7" s="170"/>
      <c r="E7" s="175"/>
      <c r="F7" s="175" t="s">
        <v>18</v>
      </c>
      <c r="G7" s="1219" t="str">
        <f>IF('Warrant 1'!G7:O7="","",'Warrant 1'!G7:O7)</f>
        <v/>
      </c>
      <c r="H7" s="1217"/>
      <c r="I7" s="1217"/>
      <c r="J7" s="1217"/>
      <c r="K7" s="1217"/>
      <c r="L7" s="1217"/>
      <c r="M7" s="1217"/>
      <c r="N7" s="1217"/>
      <c r="O7" s="1217"/>
      <c r="P7" s="284"/>
      <c r="Q7" s="284"/>
      <c r="R7" s="175"/>
      <c r="S7" s="175"/>
      <c r="T7" s="175"/>
      <c r="U7" s="175"/>
      <c r="V7" s="175"/>
      <c r="W7" s="175"/>
      <c r="X7" s="175" t="s">
        <v>19</v>
      </c>
      <c r="Y7" s="1217" t="str">
        <f>IF('Warrant 1'!Y7:AI7="","",'Warrant 1'!Y7:AI7)</f>
        <v/>
      </c>
      <c r="Z7" s="1217"/>
      <c r="AA7" s="1217"/>
      <c r="AB7" s="1217"/>
      <c r="AC7" s="1217"/>
      <c r="AD7" s="1217"/>
      <c r="AE7" s="1217"/>
      <c r="AF7" s="1217"/>
      <c r="AG7" s="1217"/>
      <c r="AH7" s="1217"/>
      <c r="AI7" s="1217"/>
      <c r="AJ7" s="170"/>
      <c r="AK7" s="49"/>
      <c r="AM7" s="488"/>
      <c r="AN7" s="488"/>
    </row>
    <row r="8" spans="1:40" ht="12" customHeight="1">
      <c r="A8" s="48"/>
      <c r="B8" s="170"/>
      <c r="C8" s="170"/>
      <c r="D8" s="170"/>
      <c r="E8" s="170"/>
      <c r="F8" s="170"/>
      <c r="G8" s="284"/>
      <c r="H8" s="285"/>
      <c r="I8" s="284"/>
      <c r="J8" s="285"/>
      <c r="K8" s="284"/>
      <c r="L8" s="285"/>
      <c r="M8" s="284"/>
      <c r="N8" s="285"/>
      <c r="O8" s="284"/>
      <c r="P8" s="285"/>
      <c r="Q8" s="284"/>
      <c r="R8" s="170"/>
      <c r="S8" s="175"/>
      <c r="T8" s="170"/>
      <c r="U8" s="170"/>
      <c r="V8" s="170"/>
      <c r="W8" s="170"/>
      <c r="X8" s="170"/>
      <c r="Y8" s="170"/>
      <c r="Z8" s="170"/>
      <c r="AA8" s="170"/>
      <c r="AB8" s="170"/>
      <c r="AC8" s="170"/>
      <c r="AD8" s="170"/>
      <c r="AE8" s="170"/>
      <c r="AF8" s="170"/>
      <c r="AG8" s="170"/>
      <c r="AH8" s="170"/>
      <c r="AI8" s="170"/>
      <c r="AJ8" s="170"/>
      <c r="AK8" s="49"/>
      <c r="AM8" s="488"/>
      <c r="AN8" s="488"/>
    </row>
    <row r="9" spans="1:40" ht="12" customHeight="1">
      <c r="A9" s="48"/>
      <c r="B9" s="172"/>
      <c r="C9" s="170"/>
      <c r="D9" s="170"/>
      <c r="E9" s="175"/>
      <c r="F9" s="175" t="s">
        <v>22</v>
      </c>
      <c r="G9" s="1216" t="str">
        <f>IF('Warrant 1'!G9:Q9="","",'Warrant 1'!G9:Q9)</f>
        <v/>
      </c>
      <c r="H9" s="1216"/>
      <c r="I9" s="1216"/>
      <c r="J9" s="1216"/>
      <c r="K9" s="1216"/>
      <c r="L9" s="1216"/>
      <c r="M9" s="1216"/>
      <c r="N9" s="1216"/>
      <c r="O9" s="1216"/>
      <c r="P9" s="1216"/>
      <c r="Q9" s="1216"/>
      <c r="R9" s="30"/>
      <c r="S9" s="30"/>
      <c r="T9" s="171"/>
      <c r="U9" s="170"/>
      <c r="V9" s="175" t="s">
        <v>20</v>
      </c>
      <c r="W9" s="481" t="str">
        <f>IF('Warrant 1'!W9="","",'Warrant 1'!W9)</f>
        <v/>
      </c>
      <c r="X9" s="170"/>
      <c r="Y9" s="171"/>
      <c r="Z9" s="175"/>
      <c r="AA9" s="170"/>
      <c r="AB9" s="175"/>
      <c r="AC9" s="170"/>
      <c r="AD9" s="170"/>
      <c r="AE9" s="175"/>
      <c r="AF9" s="175"/>
      <c r="AG9" s="175" t="s">
        <v>21</v>
      </c>
      <c r="AH9" s="1220" t="str">
        <f>IF('Warrant 1'!AH9:AI9="","",'Warrant 1'!AH9:AI9)</f>
        <v/>
      </c>
      <c r="AI9" s="1220"/>
      <c r="AJ9" s="170"/>
      <c r="AK9" s="49"/>
      <c r="AM9" s="488"/>
      <c r="AN9" s="488"/>
    </row>
    <row r="10" spans="1:40" ht="12" customHeight="1">
      <c r="A10" s="48"/>
      <c r="B10" s="170"/>
      <c r="C10" s="170"/>
      <c r="D10" s="170"/>
      <c r="E10" s="175"/>
      <c r="F10" s="175" t="s">
        <v>23</v>
      </c>
      <c r="G10" s="1217" t="str">
        <f>IF('Warrant 1'!G10:Q10="","",'Warrant 1'!G10:Q10)</f>
        <v/>
      </c>
      <c r="H10" s="1217"/>
      <c r="I10" s="1217"/>
      <c r="J10" s="1217"/>
      <c r="K10" s="1217"/>
      <c r="L10" s="1217"/>
      <c r="M10" s="1217"/>
      <c r="N10" s="1217"/>
      <c r="O10" s="1217"/>
      <c r="P10" s="1217"/>
      <c r="Q10" s="1217"/>
      <c r="R10" s="30"/>
      <c r="S10" s="30"/>
      <c r="T10" s="171"/>
      <c r="U10" s="170"/>
      <c r="V10" s="175" t="s">
        <v>20</v>
      </c>
      <c r="W10" s="481" t="str">
        <f>IF('Warrant 1'!W10="","",'Warrant 1'!W10)</f>
        <v/>
      </c>
      <c r="X10" s="171"/>
      <c r="Y10" s="171"/>
      <c r="Z10" s="175"/>
      <c r="AA10" s="170"/>
      <c r="AB10" s="170"/>
      <c r="AC10" s="170"/>
      <c r="AD10" s="170"/>
      <c r="AE10" s="170"/>
      <c r="AF10" s="170"/>
      <c r="AG10" s="175"/>
      <c r="AH10" s="175"/>
      <c r="AI10" s="175"/>
      <c r="AJ10" s="170"/>
      <c r="AK10" s="49"/>
      <c r="AM10" s="488"/>
      <c r="AN10" s="488"/>
    </row>
    <row r="11" spans="1:40" ht="6" customHeight="1">
      <c r="A11" s="48"/>
      <c r="B11" s="176"/>
      <c r="C11" s="176"/>
      <c r="D11" s="176"/>
      <c r="E11" s="176"/>
      <c r="F11" s="176"/>
      <c r="G11" s="176"/>
      <c r="H11" s="176"/>
      <c r="I11" s="176"/>
      <c r="J11" s="176"/>
      <c r="K11" s="176"/>
      <c r="L11" s="176"/>
      <c r="M11" s="176"/>
      <c r="N11" s="176"/>
      <c r="O11" s="176"/>
      <c r="P11" s="176"/>
      <c r="Q11" s="176"/>
      <c r="R11" s="176"/>
      <c r="S11" s="176"/>
      <c r="T11" s="176"/>
      <c r="U11" s="176"/>
      <c r="V11" s="176"/>
      <c r="W11" s="176"/>
      <c r="X11" s="176"/>
      <c r="Y11" s="176"/>
      <c r="Z11" s="176"/>
      <c r="AA11" s="176"/>
      <c r="AB11" s="176"/>
      <c r="AC11" s="176"/>
      <c r="AD11" s="176"/>
      <c r="AE11" s="176"/>
      <c r="AF11" s="176"/>
      <c r="AG11" s="176"/>
      <c r="AH11" s="176"/>
      <c r="AI11" s="176"/>
      <c r="AJ11" s="176"/>
      <c r="AK11" s="49"/>
      <c r="AM11" s="488"/>
      <c r="AN11" s="488"/>
    </row>
    <row r="12" spans="1:40" ht="6" customHeight="1">
      <c r="A12" s="48"/>
      <c r="B12" s="45"/>
      <c r="C12" s="45"/>
      <c r="D12" s="45"/>
      <c r="E12" s="45"/>
      <c r="F12" s="45"/>
      <c r="G12" s="45"/>
      <c r="H12" s="45"/>
      <c r="I12" s="45"/>
      <c r="J12" s="45"/>
      <c r="K12" s="45"/>
      <c r="L12" s="45"/>
      <c r="M12" s="45"/>
      <c r="N12" s="45"/>
      <c r="O12" s="45"/>
      <c r="P12" s="45"/>
      <c r="Q12" s="45"/>
      <c r="R12" s="45"/>
      <c r="S12" s="45"/>
      <c r="T12" s="45"/>
      <c r="U12" s="45"/>
      <c r="V12" s="45"/>
      <c r="W12" s="45"/>
      <c r="X12" s="45"/>
      <c r="Y12" s="45"/>
      <c r="Z12" s="45"/>
      <c r="AA12" s="45"/>
      <c r="AB12" s="45"/>
      <c r="AC12" s="45"/>
      <c r="AD12" s="45"/>
      <c r="AE12" s="45"/>
      <c r="AF12" s="45"/>
      <c r="AG12" s="45"/>
      <c r="AH12" s="45"/>
      <c r="AI12" s="45"/>
      <c r="AJ12" s="45"/>
      <c r="AK12" s="49"/>
      <c r="AM12" s="488"/>
      <c r="AN12" s="488"/>
    </row>
    <row r="13" spans="1:40" ht="15" customHeight="1">
      <c r="A13" s="48"/>
      <c r="B13" s="45"/>
      <c r="C13" s="45"/>
      <c r="D13" s="45"/>
      <c r="E13" s="45"/>
      <c r="F13" s="45"/>
      <c r="G13" s="45"/>
      <c r="H13" s="45"/>
      <c r="I13" s="45"/>
      <c r="J13" s="45"/>
      <c r="K13" s="45"/>
      <c r="L13" s="45"/>
      <c r="M13" s="45"/>
      <c r="N13" s="45"/>
      <c r="O13" s="45"/>
      <c r="P13" s="45"/>
      <c r="Q13" s="45"/>
      <c r="R13" s="45"/>
      <c r="S13" s="45"/>
      <c r="T13" s="45"/>
      <c r="U13" s="45"/>
      <c r="V13" s="45"/>
      <c r="W13" s="45"/>
      <c r="X13" s="45"/>
      <c r="Y13" s="45"/>
      <c r="Z13" s="45"/>
      <c r="AA13" s="45"/>
      <c r="AB13" s="45"/>
      <c r="AC13" s="45"/>
      <c r="AD13" s="1215" t="s">
        <v>281</v>
      </c>
      <c r="AE13" s="1215"/>
      <c r="AF13" s="1215"/>
      <c r="AG13" s="1215"/>
      <c r="AH13" s="1215"/>
      <c r="AI13" s="1215"/>
      <c r="AJ13" s="1215"/>
      <c r="AK13" s="49"/>
      <c r="AM13" s="488"/>
      <c r="AN13" s="488"/>
    </row>
    <row r="14" spans="1:40" ht="12.95" customHeight="1">
      <c r="A14" s="48"/>
      <c r="B14" s="1203" t="s">
        <v>285</v>
      </c>
      <c r="C14" s="1203"/>
      <c r="D14" s="1203"/>
      <c r="E14" s="1203"/>
      <c r="F14" s="1203"/>
      <c r="G14" s="1203"/>
      <c r="H14" s="1203"/>
      <c r="I14" s="1203"/>
      <c r="J14" s="1203"/>
      <c r="K14" s="1203"/>
      <c r="L14" s="1203"/>
      <c r="M14" s="1203"/>
      <c r="N14" s="1203"/>
      <c r="O14" s="1203"/>
      <c r="P14" s="1203"/>
      <c r="Q14" s="1203"/>
      <c r="R14" s="1203"/>
      <c r="S14" s="1203"/>
      <c r="T14" s="1203"/>
      <c r="U14" s="45"/>
      <c r="V14" s="45"/>
      <c r="W14" s="45"/>
      <c r="X14" s="45"/>
      <c r="Y14" s="45"/>
      <c r="Z14" s="45"/>
      <c r="AA14" s="45"/>
      <c r="AB14" s="175"/>
      <c r="AC14" s="170"/>
      <c r="AD14" s="45"/>
      <c r="AE14" s="483" t="str">
        <f>IF('Warrant 1'!AN23=1,"X","")</f>
        <v/>
      </c>
      <c r="AF14" s="172" t="s">
        <v>27</v>
      </c>
      <c r="AG14" s="172"/>
      <c r="AH14" s="483" t="str">
        <f>IF(AE14="","X","")</f>
        <v>X</v>
      </c>
      <c r="AI14" s="172" t="s">
        <v>28</v>
      </c>
      <c r="AJ14" s="45"/>
      <c r="AK14" s="49"/>
      <c r="AM14" s="488">
        <f>IF(AE14="X",1,0)</f>
        <v>0</v>
      </c>
      <c r="AN14" s="488"/>
    </row>
    <row r="15" spans="1:40" ht="6" customHeight="1">
      <c r="A15" s="48"/>
      <c r="B15" s="45"/>
      <c r="C15" s="45"/>
      <c r="D15" s="45"/>
      <c r="E15" s="45"/>
      <c r="F15" s="45"/>
      <c r="G15" s="45"/>
      <c r="H15" s="45"/>
      <c r="I15" s="45"/>
      <c r="J15" s="45"/>
      <c r="K15" s="45"/>
      <c r="L15" s="45"/>
      <c r="M15" s="45"/>
      <c r="N15" s="45"/>
      <c r="O15" s="45"/>
      <c r="P15" s="45"/>
      <c r="Q15" s="45"/>
      <c r="R15" s="45"/>
      <c r="S15" s="45"/>
      <c r="T15" s="45"/>
      <c r="U15" s="45"/>
      <c r="V15" s="45"/>
      <c r="W15" s="45"/>
      <c r="X15" s="45"/>
      <c r="Y15" s="45"/>
      <c r="Z15" s="45"/>
      <c r="AA15" s="45"/>
      <c r="AB15" s="45"/>
      <c r="AC15" s="45"/>
      <c r="AD15" s="45"/>
      <c r="AE15" s="45"/>
      <c r="AF15" s="45"/>
      <c r="AG15" s="45"/>
      <c r="AH15" s="45"/>
      <c r="AI15" s="45"/>
      <c r="AJ15" s="45"/>
      <c r="AK15" s="49"/>
      <c r="AM15" s="488"/>
      <c r="AN15" s="488"/>
    </row>
    <row r="16" spans="1:40" ht="12.95" customHeight="1">
      <c r="A16" s="48"/>
      <c r="B16" s="45"/>
      <c r="C16" s="45"/>
      <c r="D16" s="45"/>
      <c r="E16" s="45"/>
      <c r="F16" s="45"/>
      <c r="G16" s="45"/>
      <c r="H16" s="45"/>
      <c r="I16" s="45"/>
      <c r="J16" s="45"/>
      <c r="K16" s="45"/>
      <c r="L16" s="45"/>
      <c r="M16" s="45"/>
      <c r="N16" s="45"/>
      <c r="O16" s="45"/>
      <c r="P16" s="45"/>
      <c r="Q16" s="45"/>
      <c r="R16" s="45"/>
      <c r="S16" s="45"/>
      <c r="T16" s="1214" t="s">
        <v>282</v>
      </c>
      <c r="U16" s="1214"/>
      <c r="V16" s="1214"/>
      <c r="W16" s="1214"/>
      <c r="X16" s="1214"/>
      <c r="Y16" s="45"/>
      <c r="Z16" s="1214" t="s">
        <v>283</v>
      </c>
      <c r="AA16" s="1214"/>
      <c r="AB16" s="1214"/>
      <c r="AC16" s="1214"/>
      <c r="AD16" s="1214"/>
      <c r="AE16" s="45"/>
      <c r="AF16" s="45"/>
      <c r="AG16" s="45"/>
      <c r="AH16" s="45"/>
      <c r="AI16" s="45"/>
      <c r="AJ16" s="45"/>
      <c r="AK16" s="49"/>
      <c r="AM16" s="488"/>
      <c r="AN16" s="488"/>
    </row>
    <row r="17" spans="1:40" ht="12" customHeight="1">
      <c r="A17" s="48"/>
      <c r="B17" s="45"/>
      <c r="C17" s="489" t="s">
        <v>279</v>
      </c>
      <c r="D17" s="45"/>
      <c r="E17" s="45"/>
      <c r="F17" s="45"/>
      <c r="G17" s="45"/>
      <c r="H17" s="45"/>
      <c r="I17" s="45"/>
      <c r="J17" s="45"/>
      <c r="K17" s="45"/>
      <c r="L17" s="45"/>
      <c r="M17" s="45"/>
      <c r="N17" s="45"/>
      <c r="O17" s="45"/>
      <c r="P17" s="45"/>
      <c r="Q17" s="45"/>
      <c r="R17" s="45"/>
      <c r="S17" s="45"/>
      <c r="T17" s="483" t="str">
        <f>IF('Warrant 1'!AS57=1,"X","")</f>
        <v/>
      </c>
      <c r="U17" s="172" t="s">
        <v>27</v>
      </c>
      <c r="V17" s="172"/>
      <c r="W17" s="483" t="str">
        <f>IF(T17="","X","")</f>
        <v>X</v>
      </c>
      <c r="X17" s="172" t="s">
        <v>28</v>
      </c>
      <c r="Y17" s="45"/>
      <c r="Z17" s="483" t="str">
        <f>IF('Warrant 1'!AS43=1,"X","")</f>
        <v/>
      </c>
      <c r="AA17" s="172" t="s">
        <v>27</v>
      </c>
      <c r="AB17" s="172"/>
      <c r="AC17" s="483" t="str">
        <f>IF(Z17="","X","")</f>
        <v>X</v>
      </c>
      <c r="AD17" s="172" t="s">
        <v>28</v>
      </c>
      <c r="AE17" s="45"/>
      <c r="AF17" s="45"/>
      <c r="AG17" s="45"/>
      <c r="AH17" s="45"/>
      <c r="AI17" s="45"/>
      <c r="AJ17" s="45"/>
      <c r="AK17" s="49"/>
      <c r="AM17" s="488"/>
      <c r="AN17" s="488">
        <f>IF(AC17="X",IF(AC18="X",1,0),0)</f>
        <v>1</v>
      </c>
    </row>
    <row r="18" spans="1:40" ht="12" customHeight="1">
      <c r="A18" s="48"/>
      <c r="B18" s="45"/>
      <c r="C18" s="489" t="s">
        <v>280</v>
      </c>
      <c r="D18" s="45"/>
      <c r="E18" s="45"/>
      <c r="F18" s="45"/>
      <c r="G18" s="45"/>
      <c r="H18" s="45"/>
      <c r="I18" s="45"/>
      <c r="J18" s="45"/>
      <c r="K18" s="45"/>
      <c r="L18" s="45"/>
      <c r="M18" s="45"/>
      <c r="N18" s="45"/>
      <c r="O18" s="45"/>
      <c r="P18" s="45"/>
      <c r="Q18" s="45"/>
      <c r="R18" s="45"/>
      <c r="S18" s="45"/>
      <c r="T18" s="483" t="str">
        <f>IF('Warrant 1'!AS64=1,"X","")</f>
        <v/>
      </c>
      <c r="U18" s="172" t="s">
        <v>27</v>
      </c>
      <c r="V18" s="172"/>
      <c r="W18" s="483" t="str">
        <f>IF(T18="","X","")</f>
        <v>X</v>
      </c>
      <c r="X18" s="172" t="s">
        <v>28</v>
      </c>
      <c r="Y18" s="45"/>
      <c r="Z18" s="483" t="str">
        <f>IF('Warrant 1'!AS50=1,"X","")</f>
        <v/>
      </c>
      <c r="AA18" s="172" t="s">
        <v>27</v>
      </c>
      <c r="AB18" s="172"/>
      <c r="AC18" s="483" t="str">
        <f>IF(Z18="","X","")</f>
        <v>X</v>
      </c>
      <c r="AD18" s="172" t="s">
        <v>28</v>
      </c>
      <c r="AE18" s="45"/>
      <c r="AF18" s="45"/>
      <c r="AG18" s="45"/>
      <c r="AH18" s="45"/>
      <c r="AI18" s="45"/>
      <c r="AJ18" s="45"/>
      <c r="AK18" s="49"/>
      <c r="AM18" s="488"/>
      <c r="AN18" s="488"/>
    </row>
    <row r="19" spans="1:40" ht="6" customHeight="1">
      <c r="A19" s="48"/>
      <c r="B19" s="45"/>
      <c r="C19" s="484"/>
      <c r="D19" s="45"/>
      <c r="E19" s="45"/>
      <c r="F19" s="45"/>
      <c r="G19" s="45"/>
      <c r="H19" s="45"/>
      <c r="I19" s="45"/>
      <c r="J19" s="45"/>
      <c r="K19" s="45"/>
      <c r="L19" s="45"/>
      <c r="M19" s="45"/>
      <c r="N19" s="45"/>
      <c r="O19" s="45"/>
      <c r="P19" s="45"/>
      <c r="Q19" s="45"/>
      <c r="R19" s="45"/>
      <c r="S19" s="45"/>
      <c r="T19" s="482"/>
      <c r="U19" s="172"/>
      <c r="V19" s="172"/>
      <c r="W19" s="482"/>
      <c r="X19" s="172"/>
      <c r="Y19" s="45"/>
      <c r="Z19" s="482"/>
      <c r="AA19" s="172"/>
      <c r="AB19" s="172"/>
      <c r="AC19" s="482"/>
      <c r="AD19" s="172"/>
      <c r="AE19" s="45"/>
      <c r="AF19" s="45"/>
      <c r="AG19" s="45"/>
      <c r="AH19" s="45"/>
      <c r="AI19" s="45"/>
      <c r="AJ19" s="45"/>
      <c r="AK19" s="49"/>
      <c r="AM19" s="488"/>
      <c r="AN19" s="488"/>
    </row>
    <row r="20" spans="1:40" ht="12" customHeight="1">
      <c r="A20" s="48"/>
      <c r="B20" s="45"/>
      <c r="C20" s="1204" t="s">
        <v>296</v>
      </c>
      <c r="D20" s="1204"/>
      <c r="E20" s="1204"/>
      <c r="F20" s="1204"/>
      <c r="G20" s="1204"/>
      <c r="H20" s="1204"/>
      <c r="I20" s="1204"/>
      <c r="J20" s="1204"/>
      <c r="K20" s="1204"/>
      <c r="L20" s="1204"/>
      <c r="M20" s="1204"/>
      <c r="N20" s="1204"/>
      <c r="O20" s="1204"/>
      <c r="P20" s="1204"/>
      <c r="Q20" s="1204"/>
      <c r="R20" s="1204"/>
      <c r="S20" s="1204"/>
      <c r="T20" s="1204"/>
      <c r="U20" s="1204"/>
      <c r="V20" s="1204"/>
      <c r="W20" s="1204"/>
      <c r="X20" s="1204"/>
      <c r="Y20" s="1204"/>
      <c r="Z20" s="1204"/>
      <c r="AA20" s="1204"/>
      <c r="AB20" s="1204"/>
      <c r="AC20" s="1204"/>
      <c r="AD20" s="1204"/>
      <c r="AE20" s="45"/>
      <c r="AF20" s="45"/>
      <c r="AG20" s="45"/>
      <c r="AH20" s="45"/>
      <c r="AI20" s="45"/>
      <c r="AJ20" s="45"/>
      <c r="AK20" s="49"/>
      <c r="AM20" s="488"/>
      <c r="AN20" s="488"/>
    </row>
    <row r="21" spans="1:40" ht="12" customHeight="1">
      <c r="A21" s="48"/>
      <c r="B21" s="45"/>
      <c r="C21" s="1205" t="str">
        <f>IF('Warrant 1'!D29="","",'Warrant 1'!D29)</f>
        <v/>
      </c>
      <c r="D21" s="1206"/>
      <c r="E21" s="1206"/>
      <c r="F21" s="1206"/>
      <c r="G21" s="1206"/>
      <c r="H21" s="1206"/>
      <c r="I21" s="1206"/>
      <c r="J21" s="1206"/>
      <c r="K21" s="1206"/>
      <c r="L21" s="1206"/>
      <c r="M21" s="1206"/>
      <c r="N21" s="1206"/>
      <c r="O21" s="1206"/>
      <c r="P21" s="1206"/>
      <c r="Q21" s="1206"/>
      <c r="R21" s="1206"/>
      <c r="S21" s="1206"/>
      <c r="T21" s="1206"/>
      <c r="U21" s="1206"/>
      <c r="V21" s="1206"/>
      <c r="W21" s="1206"/>
      <c r="X21" s="1206"/>
      <c r="Y21" s="1206"/>
      <c r="Z21" s="1206"/>
      <c r="AA21" s="1206"/>
      <c r="AB21" s="1206"/>
      <c r="AC21" s="1206"/>
      <c r="AD21" s="1207"/>
      <c r="AE21" s="45"/>
      <c r="AF21" s="45"/>
      <c r="AG21" s="45"/>
      <c r="AH21" s="45"/>
      <c r="AI21" s="45"/>
      <c r="AJ21" s="45"/>
      <c r="AK21" s="49"/>
      <c r="AM21" s="488"/>
      <c r="AN21" s="488"/>
    </row>
    <row r="22" spans="1:40" ht="12" customHeight="1">
      <c r="A22" s="48"/>
      <c r="B22" s="45"/>
      <c r="C22" s="1208"/>
      <c r="D22" s="1209"/>
      <c r="E22" s="1209"/>
      <c r="F22" s="1209"/>
      <c r="G22" s="1209"/>
      <c r="H22" s="1209"/>
      <c r="I22" s="1209"/>
      <c r="J22" s="1209"/>
      <c r="K22" s="1209"/>
      <c r="L22" s="1209"/>
      <c r="M22" s="1209"/>
      <c r="N22" s="1209"/>
      <c r="O22" s="1209"/>
      <c r="P22" s="1209"/>
      <c r="Q22" s="1209"/>
      <c r="R22" s="1209"/>
      <c r="S22" s="1209"/>
      <c r="T22" s="1209"/>
      <c r="U22" s="1209"/>
      <c r="V22" s="1209"/>
      <c r="W22" s="1209"/>
      <c r="X22" s="1209"/>
      <c r="Y22" s="1209"/>
      <c r="Z22" s="1209"/>
      <c r="AA22" s="1209"/>
      <c r="AB22" s="1209"/>
      <c r="AC22" s="1209"/>
      <c r="AD22" s="1210"/>
      <c r="AE22" s="45"/>
      <c r="AF22" s="45"/>
      <c r="AG22" s="45"/>
      <c r="AH22" s="45"/>
      <c r="AI22" s="45"/>
      <c r="AJ22" s="45"/>
      <c r="AK22" s="49"/>
      <c r="AM22" s="488"/>
      <c r="AN22" s="488"/>
    </row>
    <row r="23" spans="1:40" ht="12" customHeight="1">
      <c r="A23" s="48"/>
      <c r="B23" s="45"/>
      <c r="C23" s="1211"/>
      <c r="D23" s="1212"/>
      <c r="E23" s="1212"/>
      <c r="F23" s="1212"/>
      <c r="G23" s="1212"/>
      <c r="H23" s="1212"/>
      <c r="I23" s="1212"/>
      <c r="J23" s="1212"/>
      <c r="K23" s="1212"/>
      <c r="L23" s="1212"/>
      <c r="M23" s="1212"/>
      <c r="N23" s="1212"/>
      <c r="O23" s="1212"/>
      <c r="P23" s="1212"/>
      <c r="Q23" s="1212"/>
      <c r="R23" s="1212"/>
      <c r="S23" s="1212"/>
      <c r="T23" s="1212"/>
      <c r="U23" s="1212"/>
      <c r="V23" s="1212"/>
      <c r="W23" s="1212"/>
      <c r="X23" s="1212"/>
      <c r="Y23" s="1212"/>
      <c r="Z23" s="1212"/>
      <c r="AA23" s="1212"/>
      <c r="AB23" s="1212"/>
      <c r="AC23" s="1212"/>
      <c r="AD23" s="1213"/>
      <c r="AE23" s="45"/>
      <c r="AF23" s="45"/>
      <c r="AG23" s="45"/>
      <c r="AH23" s="45"/>
      <c r="AI23" s="45"/>
      <c r="AJ23" s="45"/>
      <c r="AK23" s="49"/>
      <c r="AM23" s="488"/>
      <c r="AN23" s="488"/>
    </row>
    <row r="24" spans="1:40" ht="12" customHeight="1">
      <c r="A24" s="48"/>
      <c r="B24" s="45"/>
      <c r="C24" s="45"/>
      <c r="D24" s="45"/>
      <c r="E24" s="45"/>
      <c r="F24" s="45"/>
      <c r="G24" s="45"/>
      <c r="H24" s="45"/>
      <c r="I24" s="45"/>
      <c r="J24" s="45"/>
      <c r="K24" s="45"/>
      <c r="L24" s="45"/>
      <c r="M24" s="45"/>
      <c r="N24" s="45"/>
      <c r="O24" s="45"/>
      <c r="P24" s="45"/>
      <c r="Q24" s="45"/>
      <c r="R24" s="45"/>
      <c r="S24" s="45"/>
      <c r="T24" s="45"/>
      <c r="U24" s="45"/>
      <c r="V24" s="45"/>
      <c r="W24" s="45"/>
      <c r="X24" s="45"/>
      <c r="Y24" s="45"/>
      <c r="Z24" s="45"/>
      <c r="AA24" s="45"/>
      <c r="AB24" s="45"/>
      <c r="AC24" s="45"/>
      <c r="AD24" s="45"/>
      <c r="AE24" s="45"/>
      <c r="AF24" s="45"/>
      <c r="AG24" s="45"/>
      <c r="AH24" s="45"/>
      <c r="AI24" s="45"/>
      <c r="AJ24" s="45"/>
      <c r="AK24" s="49"/>
      <c r="AM24" s="488"/>
      <c r="AN24" s="488"/>
    </row>
    <row r="25" spans="1:40" ht="12.95" customHeight="1">
      <c r="A25" s="48"/>
      <c r="B25" s="1203" t="s">
        <v>284</v>
      </c>
      <c r="C25" s="1203"/>
      <c r="D25" s="1203"/>
      <c r="E25" s="1203"/>
      <c r="F25" s="1203"/>
      <c r="G25" s="1203"/>
      <c r="H25" s="1203"/>
      <c r="I25" s="1203"/>
      <c r="J25" s="1203"/>
      <c r="K25" s="1203"/>
      <c r="L25" s="1203"/>
      <c r="M25" s="1203"/>
      <c r="N25" s="1203"/>
      <c r="O25" s="1203"/>
      <c r="P25" s="1203"/>
      <c r="Q25" s="1203"/>
      <c r="R25" s="1203"/>
      <c r="S25" s="1203"/>
      <c r="T25" s="1203"/>
      <c r="U25" s="45"/>
      <c r="V25" s="45"/>
      <c r="W25" s="45"/>
      <c r="X25" s="45"/>
      <c r="Y25" s="45"/>
      <c r="Z25" s="45"/>
      <c r="AA25" s="45"/>
      <c r="AB25" s="45"/>
      <c r="AC25" s="45"/>
      <c r="AD25" s="45"/>
      <c r="AE25" s="483" t="str">
        <f>IF('Warrant 2'!AD6="X","X","")</f>
        <v/>
      </c>
      <c r="AF25" s="172" t="s">
        <v>27</v>
      </c>
      <c r="AG25" s="172"/>
      <c r="AH25" s="483" t="str">
        <f>IF(AE25="","X","")</f>
        <v>X</v>
      </c>
      <c r="AI25" s="172" t="s">
        <v>28</v>
      </c>
      <c r="AJ25" s="45"/>
      <c r="AK25" s="49"/>
      <c r="AM25" s="488">
        <f>IF(AE25="X",1,0)</f>
        <v>0</v>
      </c>
      <c r="AN25" s="488"/>
    </row>
    <row r="26" spans="1:40" ht="12" customHeight="1">
      <c r="A26" s="48"/>
      <c r="B26" s="45"/>
      <c r="C26" s="45"/>
      <c r="D26" s="45"/>
      <c r="E26" s="45"/>
      <c r="F26" s="45"/>
      <c r="G26" s="45"/>
      <c r="H26" s="45"/>
      <c r="I26" s="45"/>
      <c r="J26" s="45"/>
      <c r="K26" s="45"/>
      <c r="L26" s="45"/>
      <c r="M26" s="45"/>
      <c r="N26" s="45"/>
      <c r="O26" s="45"/>
      <c r="P26" s="45"/>
      <c r="Q26" s="45"/>
      <c r="R26" s="45"/>
      <c r="S26" s="45"/>
      <c r="T26" s="45"/>
      <c r="U26" s="45"/>
      <c r="V26" s="45"/>
      <c r="W26" s="45"/>
      <c r="X26" s="45"/>
      <c r="Y26" s="45"/>
      <c r="Z26" s="45"/>
      <c r="AA26" s="45"/>
      <c r="AB26" s="45"/>
      <c r="AC26" s="45"/>
      <c r="AD26" s="45"/>
      <c r="AE26" s="45"/>
      <c r="AF26" s="45"/>
      <c r="AG26" s="45"/>
      <c r="AH26" s="45"/>
      <c r="AI26" s="45"/>
      <c r="AJ26" s="45"/>
      <c r="AK26" s="49"/>
      <c r="AM26" s="488"/>
      <c r="AN26" s="488"/>
    </row>
    <row r="27" spans="1:40" ht="12.95" customHeight="1">
      <c r="A27" s="48"/>
      <c r="B27" s="1203" t="s">
        <v>286</v>
      </c>
      <c r="C27" s="1203"/>
      <c r="D27" s="1203"/>
      <c r="E27" s="1203"/>
      <c r="F27" s="1203"/>
      <c r="G27" s="1203"/>
      <c r="H27" s="1203"/>
      <c r="I27" s="1203"/>
      <c r="J27" s="1203"/>
      <c r="K27" s="1203"/>
      <c r="L27" s="1203"/>
      <c r="M27" s="1203"/>
      <c r="N27" s="1203"/>
      <c r="O27" s="1203"/>
      <c r="P27" s="1203"/>
      <c r="Q27" s="1203"/>
      <c r="R27" s="1203"/>
      <c r="S27" s="1203"/>
      <c r="T27" s="1203"/>
      <c r="U27" s="45"/>
      <c r="V27" s="45"/>
      <c r="W27" s="45"/>
      <c r="X27" s="45"/>
      <c r="Y27" s="45"/>
      <c r="Z27" s="45"/>
      <c r="AA27" s="45"/>
      <c r="AB27" s="45"/>
      <c r="AC27" s="45"/>
      <c r="AD27" s="45"/>
      <c r="AE27" s="483" t="str">
        <f>IF('Warrant 3'!AD8="X","X","")</f>
        <v/>
      </c>
      <c r="AF27" s="172" t="s">
        <v>27</v>
      </c>
      <c r="AG27" s="172"/>
      <c r="AH27" s="483" t="str">
        <f>IF(AE27="","X","")</f>
        <v>X</v>
      </c>
      <c r="AI27" s="172" t="s">
        <v>28</v>
      </c>
      <c r="AJ27" s="45"/>
      <c r="AK27" s="49"/>
      <c r="AM27" s="488">
        <f>IF(AE27="X",1,0)</f>
        <v>0</v>
      </c>
      <c r="AN27" s="488"/>
    </row>
    <row r="28" spans="1:40" ht="6" customHeight="1">
      <c r="A28" s="48"/>
      <c r="B28" s="45"/>
      <c r="C28" s="484"/>
      <c r="D28" s="45"/>
      <c r="E28" s="45"/>
      <c r="F28" s="45"/>
      <c r="G28" s="45"/>
      <c r="H28" s="45"/>
      <c r="I28" s="45"/>
      <c r="J28" s="45"/>
      <c r="K28" s="45"/>
      <c r="L28" s="45"/>
      <c r="M28" s="45"/>
      <c r="N28" s="45"/>
      <c r="O28" s="45"/>
      <c r="P28" s="45"/>
      <c r="Q28" s="45"/>
      <c r="R28" s="45"/>
      <c r="S28" s="45"/>
      <c r="T28" s="482"/>
      <c r="U28" s="172"/>
      <c r="V28" s="172"/>
      <c r="W28" s="482"/>
      <c r="X28" s="172"/>
      <c r="Y28" s="45"/>
      <c r="Z28" s="482"/>
      <c r="AA28" s="172"/>
      <c r="AB28" s="172"/>
      <c r="AC28" s="482"/>
      <c r="AD28" s="172"/>
      <c r="AE28" s="45"/>
      <c r="AF28" s="45"/>
      <c r="AG28" s="45"/>
      <c r="AH28" s="45"/>
      <c r="AI28" s="45"/>
      <c r="AJ28" s="45"/>
      <c r="AK28" s="49"/>
      <c r="AM28" s="488"/>
      <c r="AN28" s="488"/>
    </row>
    <row r="29" spans="1:40" ht="12" customHeight="1">
      <c r="A29" s="48"/>
      <c r="B29" s="45"/>
      <c r="C29" s="1204" t="s">
        <v>295</v>
      </c>
      <c r="D29" s="1204"/>
      <c r="E29" s="1204"/>
      <c r="F29" s="1204"/>
      <c r="G29" s="1204"/>
      <c r="H29" s="1204"/>
      <c r="I29" s="1204"/>
      <c r="J29" s="1204"/>
      <c r="K29" s="1204"/>
      <c r="L29" s="1204"/>
      <c r="M29" s="1204"/>
      <c r="N29" s="1204"/>
      <c r="O29" s="1204"/>
      <c r="P29" s="1204"/>
      <c r="Q29" s="1204"/>
      <c r="R29" s="1204"/>
      <c r="S29" s="1204"/>
      <c r="T29" s="1204"/>
      <c r="U29" s="1204"/>
      <c r="V29" s="1204"/>
      <c r="W29" s="1204"/>
      <c r="X29" s="1204"/>
      <c r="Y29" s="1204"/>
      <c r="Z29" s="1204"/>
      <c r="AA29" s="1204"/>
      <c r="AB29" s="1204"/>
      <c r="AC29" s="1204"/>
      <c r="AD29" s="1204"/>
      <c r="AE29" s="45"/>
      <c r="AF29" s="45"/>
      <c r="AG29" s="45"/>
      <c r="AH29" s="45"/>
      <c r="AI29" s="45"/>
      <c r="AJ29" s="45"/>
      <c r="AK29" s="49"/>
      <c r="AM29" s="488"/>
      <c r="AN29" s="488"/>
    </row>
    <row r="30" spans="1:40" ht="12" customHeight="1">
      <c r="A30" s="48"/>
      <c r="B30" s="45"/>
      <c r="C30" s="1205" t="str">
        <f>IF('Warrant 3'!C13="","",'Warrant 3'!C13)</f>
        <v/>
      </c>
      <c r="D30" s="1206"/>
      <c r="E30" s="1206"/>
      <c r="F30" s="1206"/>
      <c r="G30" s="1206"/>
      <c r="H30" s="1206"/>
      <c r="I30" s="1206"/>
      <c r="J30" s="1206"/>
      <c r="K30" s="1206"/>
      <c r="L30" s="1206"/>
      <c r="M30" s="1206"/>
      <c r="N30" s="1206"/>
      <c r="O30" s="1206"/>
      <c r="P30" s="1206"/>
      <c r="Q30" s="1206"/>
      <c r="R30" s="1206"/>
      <c r="S30" s="1206"/>
      <c r="T30" s="1206"/>
      <c r="U30" s="1206"/>
      <c r="V30" s="1206"/>
      <c r="W30" s="1206"/>
      <c r="X30" s="1206"/>
      <c r="Y30" s="1206"/>
      <c r="Z30" s="1206"/>
      <c r="AA30" s="1206"/>
      <c r="AB30" s="1206"/>
      <c r="AC30" s="1206"/>
      <c r="AD30" s="1207"/>
      <c r="AE30" s="45"/>
      <c r="AF30" s="45"/>
      <c r="AG30" s="45"/>
      <c r="AH30" s="45"/>
      <c r="AI30" s="45"/>
      <c r="AJ30" s="45"/>
      <c r="AK30" s="49"/>
      <c r="AM30" s="488"/>
      <c r="AN30" s="488"/>
    </row>
    <row r="31" spans="1:40" ht="12" customHeight="1">
      <c r="A31" s="48"/>
      <c r="B31" s="45"/>
      <c r="C31" s="1208"/>
      <c r="D31" s="1209"/>
      <c r="E31" s="1209"/>
      <c r="F31" s="1209"/>
      <c r="G31" s="1209"/>
      <c r="H31" s="1209"/>
      <c r="I31" s="1209"/>
      <c r="J31" s="1209"/>
      <c r="K31" s="1209"/>
      <c r="L31" s="1209"/>
      <c r="M31" s="1209"/>
      <c r="N31" s="1209"/>
      <c r="O31" s="1209"/>
      <c r="P31" s="1209"/>
      <c r="Q31" s="1209"/>
      <c r="R31" s="1209"/>
      <c r="S31" s="1209"/>
      <c r="T31" s="1209"/>
      <c r="U31" s="1209"/>
      <c r="V31" s="1209"/>
      <c r="W31" s="1209"/>
      <c r="X31" s="1209"/>
      <c r="Y31" s="1209"/>
      <c r="Z31" s="1209"/>
      <c r="AA31" s="1209"/>
      <c r="AB31" s="1209"/>
      <c r="AC31" s="1209"/>
      <c r="AD31" s="1210"/>
      <c r="AE31" s="45"/>
      <c r="AF31" s="45"/>
      <c r="AG31" s="45"/>
      <c r="AH31" s="45"/>
      <c r="AI31" s="45"/>
      <c r="AJ31" s="45"/>
      <c r="AK31" s="49"/>
      <c r="AM31" s="488"/>
      <c r="AN31" s="488"/>
    </row>
    <row r="32" spans="1:40" ht="12" customHeight="1">
      <c r="A32" s="48"/>
      <c r="B32" s="45"/>
      <c r="C32" s="1211"/>
      <c r="D32" s="1212"/>
      <c r="E32" s="1212"/>
      <c r="F32" s="1212"/>
      <c r="G32" s="1212"/>
      <c r="H32" s="1212"/>
      <c r="I32" s="1212"/>
      <c r="J32" s="1212"/>
      <c r="K32" s="1212"/>
      <c r="L32" s="1212"/>
      <c r="M32" s="1212"/>
      <c r="N32" s="1212"/>
      <c r="O32" s="1212"/>
      <c r="P32" s="1212"/>
      <c r="Q32" s="1212"/>
      <c r="R32" s="1212"/>
      <c r="S32" s="1212"/>
      <c r="T32" s="1212"/>
      <c r="U32" s="1212"/>
      <c r="V32" s="1212"/>
      <c r="W32" s="1212"/>
      <c r="X32" s="1212"/>
      <c r="Y32" s="1212"/>
      <c r="Z32" s="1212"/>
      <c r="AA32" s="1212"/>
      <c r="AB32" s="1212"/>
      <c r="AC32" s="1212"/>
      <c r="AD32" s="1213"/>
      <c r="AE32" s="45"/>
      <c r="AF32" s="45"/>
      <c r="AG32" s="45"/>
      <c r="AH32" s="45"/>
      <c r="AI32" s="45"/>
      <c r="AJ32" s="45"/>
      <c r="AK32" s="49"/>
      <c r="AM32" s="488"/>
      <c r="AN32" s="488"/>
    </row>
    <row r="33" spans="1:40" ht="12" customHeight="1">
      <c r="A33" s="48"/>
      <c r="B33" s="45"/>
      <c r="C33" s="45"/>
      <c r="D33" s="45"/>
      <c r="E33" s="45"/>
      <c r="F33" s="45"/>
      <c r="G33" s="45"/>
      <c r="H33" s="45"/>
      <c r="I33" s="45"/>
      <c r="J33" s="45"/>
      <c r="K33" s="45"/>
      <c r="L33" s="45"/>
      <c r="M33" s="45"/>
      <c r="N33" s="45"/>
      <c r="O33" s="45"/>
      <c r="P33" s="45"/>
      <c r="Q33" s="45"/>
      <c r="R33" s="45"/>
      <c r="S33" s="45"/>
      <c r="T33" s="45"/>
      <c r="U33" s="45"/>
      <c r="V33" s="45"/>
      <c r="W33" s="45"/>
      <c r="X33" s="45"/>
      <c r="Y33" s="45"/>
      <c r="Z33" s="45"/>
      <c r="AA33" s="45"/>
      <c r="AB33" s="45"/>
      <c r="AC33" s="45"/>
      <c r="AD33" s="45"/>
      <c r="AE33" s="45"/>
      <c r="AF33" s="45"/>
      <c r="AG33" s="45"/>
      <c r="AH33" s="45"/>
      <c r="AI33" s="45"/>
      <c r="AJ33" s="45"/>
      <c r="AK33" s="49"/>
      <c r="AM33" s="488"/>
      <c r="AN33" s="488"/>
    </row>
    <row r="34" spans="1:40" ht="12.95" customHeight="1">
      <c r="A34" s="48"/>
      <c r="B34" s="1203" t="s">
        <v>287</v>
      </c>
      <c r="C34" s="1203"/>
      <c r="D34" s="1203"/>
      <c r="E34" s="1203"/>
      <c r="F34" s="1203"/>
      <c r="G34" s="1203"/>
      <c r="H34" s="1203"/>
      <c r="I34" s="1203"/>
      <c r="J34" s="1203"/>
      <c r="K34" s="1203"/>
      <c r="L34" s="1203"/>
      <c r="M34" s="1203"/>
      <c r="N34" s="1203"/>
      <c r="O34" s="1203"/>
      <c r="P34" s="1203"/>
      <c r="Q34" s="1203"/>
      <c r="R34" s="1203"/>
      <c r="S34" s="1203"/>
      <c r="T34" s="1203"/>
      <c r="U34" s="45"/>
      <c r="V34" s="45"/>
      <c r="W34" s="45"/>
      <c r="X34" s="45"/>
      <c r="Y34" s="45"/>
      <c r="Z34" s="45"/>
      <c r="AA34" s="45"/>
      <c r="AB34" s="45"/>
      <c r="AC34" s="45"/>
      <c r="AD34" s="45"/>
      <c r="AE34" s="483" t="str">
        <f>IF('Warrant 4'!AD6="X","X","")</f>
        <v/>
      </c>
      <c r="AF34" s="172" t="s">
        <v>27</v>
      </c>
      <c r="AG34" s="172"/>
      <c r="AH34" s="483" t="str">
        <f>IF(AE34="","X","")</f>
        <v>X</v>
      </c>
      <c r="AI34" s="172" t="s">
        <v>28</v>
      </c>
      <c r="AJ34" s="45"/>
      <c r="AK34" s="49"/>
      <c r="AM34" s="488">
        <f>IF(AE34="X",1,0)</f>
        <v>0</v>
      </c>
      <c r="AN34" s="488"/>
    </row>
    <row r="35" spans="1:40" ht="12" customHeight="1">
      <c r="A35" s="48"/>
      <c r="B35" s="45"/>
      <c r="C35" s="45"/>
      <c r="D35" s="45"/>
      <c r="E35" s="45"/>
      <c r="F35" s="45"/>
      <c r="G35" s="45"/>
      <c r="H35" s="45"/>
      <c r="I35" s="45"/>
      <c r="J35" s="45"/>
      <c r="K35" s="45"/>
      <c r="L35" s="45"/>
      <c r="M35" s="45"/>
      <c r="N35" s="45"/>
      <c r="O35" s="45"/>
      <c r="P35" s="45"/>
      <c r="Q35" s="45"/>
      <c r="R35" s="45"/>
      <c r="S35" s="45"/>
      <c r="T35" s="45"/>
      <c r="U35" s="45"/>
      <c r="V35" s="45"/>
      <c r="W35" s="45"/>
      <c r="X35" s="45"/>
      <c r="Y35" s="45"/>
      <c r="Z35" s="45"/>
      <c r="AA35" s="45"/>
      <c r="AB35" s="45"/>
      <c r="AC35" s="45"/>
      <c r="AD35" s="45"/>
      <c r="AE35" s="45"/>
      <c r="AF35" s="45"/>
      <c r="AG35" s="45"/>
      <c r="AH35" s="45"/>
      <c r="AI35" s="45"/>
      <c r="AJ35" s="45"/>
      <c r="AK35" s="49"/>
      <c r="AM35" s="488"/>
      <c r="AN35" s="488"/>
    </row>
    <row r="36" spans="1:40" ht="12.95" customHeight="1">
      <c r="A36" s="48"/>
      <c r="B36" s="1203" t="s">
        <v>288</v>
      </c>
      <c r="C36" s="1203"/>
      <c r="D36" s="1203"/>
      <c r="E36" s="1203"/>
      <c r="F36" s="1203"/>
      <c r="G36" s="1203"/>
      <c r="H36" s="1203"/>
      <c r="I36" s="1203"/>
      <c r="J36" s="1203"/>
      <c r="K36" s="1203"/>
      <c r="L36" s="1203"/>
      <c r="M36" s="1203"/>
      <c r="N36" s="1203"/>
      <c r="O36" s="1203"/>
      <c r="P36" s="1203"/>
      <c r="Q36" s="1203"/>
      <c r="R36" s="1203"/>
      <c r="S36" s="1203"/>
      <c r="T36" s="1203"/>
      <c r="U36" s="45"/>
      <c r="V36" s="45"/>
      <c r="W36" s="45"/>
      <c r="X36" s="45"/>
      <c r="Y36" s="45"/>
      <c r="Z36" s="45"/>
      <c r="AA36" s="45"/>
      <c r="AB36" s="45"/>
      <c r="AC36" s="45"/>
      <c r="AD36" s="45"/>
      <c r="AE36" s="483" t="str">
        <f>IF('Warrant 5&amp;6'!AD6="X","X","")</f>
        <v/>
      </c>
      <c r="AF36" s="172" t="s">
        <v>27</v>
      </c>
      <c r="AG36" s="172"/>
      <c r="AH36" s="483" t="str">
        <f>IF(AE36="","X","")</f>
        <v>X</v>
      </c>
      <c r="AI36" s="172" t="s">
        <v>28</v>
      </c>
      <c r="AJ36" s="45"/>
      <c r="AK36" s="49"/>
      <c r="AM36" s="488">
        <f>IF(AE36="X",1,0)</f>
        <v>0</v>
      </c>
      <c r="AN36" s="488"/>
    </row>
    <row r="37" spans="1:40" ht="6" customHeight="1">
      <c r="A37" s="48"/>
      <c r="B37" s="45"/>
      <c r="C37" s="484"/>
      <c r="D37" s="45"/>
      <c r="E37" s="45"/>
      <c r="F37" s="45"/>
      <c r="G37" s="45"/>
      <c r="H37" s="45"/>
      <c r="I37" s="45"/>
      <c r="J37" s="45"/>
      <c r="K37" s="45"/>
      <c r="L37" s="45"/>
      <c r="M37" s="45"/>
      <c r="N37" s="45"/>
      <c r="O37" s="45"/>
      <c r="P37" s="45"/>
      <c r="Q37" s="45"/>
      <c r="R37" s="45"/>
      <c r="S37" s="45"/>
      <c r="T37" s="482"/>
      <c r="U37" s="172"/>
      <c r="V37" s="172"/>
      <c r="W37" s="482"/>
      <c r="X37" s="172"/>
      <c r="Y37" s="45"/>
      <c r="Z37" s="482"/>
      <c r="AA37" s="172"/>
      <c r="AB37" s="172"/>
      <c r="AC37" s="482"/>
      <c r="AD37" s="172"/>
      <c r="AE37" s="45"/>
      <c r="AF37" s="45"/>
      <c r="AG37" s="45"/>
      <c r="AH37" s="45"/>
      <c r="AI37" s="45"/>
      <c r="AJ37" s="45"/>
      <c r="AK37" s="49"/>
      <c r="AM37" s="488"/>
      <c r="AN37" s="488"/>
    </row>
    <row r="38" spans="1:40" ht="12" customHeight="1">
      <c r="A38" s="48"/>
      <c r="B38" s="45"/>
      <c r="C38" s="1204" t="s">
        <v>294</v>
      </c>
      <c r="D38" s="1204"/>
      <c r="E38" s="1204"/>
      <c r="F38" s="1204"/>
      <c r="G38" s="1204"/>
      <c r="H38" s="1204"/>
      <c r="I38" s="1204"/>
      <c r="J38" s="1204"/>
      <c r="K38" s="1204"/>
      <c r="L38" s="1204"/>
      <c r="M38" s="1204"/>
      <c r="N38" s="1204"/>
      <c r="O38" s="1204"/>
      <c r="P38" s="1204"/>
      <c r="Q38" s="1204"/>
      <c r="R38" s="1204"/>
      <c r="S38" s="1204"/>
      <c r="T38" s="1204"/>
      <c r="U38" s="1204"/>
      <c r="V38" s="1204"/>
      <c r="W38" s="1204"/>
      <c r="X38" s="1204"/>
      <c r="Y38" s="1204"/>
      <c r="Z38" s="1204"/>
      <c r="AA38" s="1204"/>
      <c r="AB38" s="1204"/>
      <c r="AC38" s="1204"/>
      <c r="AD38" s="1204"/>
      <c r="AE38" s="45"/>
      <c r="AF38" s="45"/>
      <c r="AG38" s="45"/>
      <c r="AH38" s="45"/>
      <c r="AI38" s="45"/>
      <c r="AJ38" s="45"/>
      <c r="AK38" s="49"/>
      <c r="AM38" s="488"/>
      <c r="AN38" s="488"/>
    </row>
    <row r="39" spans="1:40" ht="12" customHeight="1">
      <c r="A39" s="48"/>
      <c r="B39" s="45"/>
      <c r="C39" s="1205" t="str">
        <f>IF('Warrant 5&amp;6'!C15="","",'Warrant 5&amp;6'!C15)</f>
        <v/>
      </c>
      <c r="D39" s="1206"/>
      <c r="E39" s="1206"/>
      <c r="F39" s="1206"/>
      <c r="G39" s="1206"/>
      <c r="H39" s="1206"/>
      <c r="I39" s="1206"/>
      <c r="J39" s="1206"/>
      <c r="K39" s="1206"/>
      <c r="L39" s="1206"/>
      <c r="M39" s="1206"/>
      <c r="N39" s="1206"/>
      <c r="O39" s="1206"/>
      <c r="P39" s="1206"/>
      <c r="Q39" s="1206"/>
      <c r="R39" s="1206"/>
      <c r="S39" s="1206"/>
      <c r="T39" s="1206"/>
      <c r="U39" s="1206"/>
      <c r="V39" s="1206"/>
      <c r="W39" s="1206"/>
      <c r="X39" s="1206"/>
      <c r="Y39" s="1206"/>
      <c r="Z39" s="1206"/>
      <c r="AA39" s="1206"/>
      <c r="AB39" s="1206"/>
      <c r="AC39" s="1206"/>
      <c r="AD39" s="1207"/>
      <c r="AE39" s="45"/>
      <c r="AF39" s="45"/>
      <c r="AG39" s="45"/>
      <c r="AH39" s="45"/>
      <c r="AI39" s="45"/>
      <c r="AJ39" s="45"/>
      <c r="AK39" s="49"/>
      <c r="AM39" s="488"/>
      <c r="AN39" s="488"/>
    </row>
    <row r="40" spans="1:40" ht="12" customHeight="1">
      <c r="A40" s="48"/>
      <c r="B40" s="45"/>
      <c r="C40" s="1208"/>
      <c r="D40" s="1209"/>
      <c r="E40" s="1209"/>
      <c r="F40" s="1209"/>
      <c r="G40" s="1209"/>
      <c r="H40" s="1209"/>
      <c r="I40" s="1209"/>
      <c r="J40" s="1209"/>
      <c r="K40" s="1209"/>
      <c r="L40" s="1209"/>
      <c r="M40" s="1209"/>
      <c r="N40" s="1209"/>
      <c r="O40" s="1209"/>
      <c r="P40" s="1209"/>
      <c r="Q40" s="1209"/>
      <c r="R40" s="1209"/>
      <c r="S40" s="1209"/>
      <c r="T40" s="1209"/>
      <c r="U40" s="1209"/>
      <c r="V40" s="1209"/>
      <c r="W40" s="1209"/>
      <c r="X40" s="1209"/>
      <c r="Y40" s="1209"/>
      <c r="Z40" s="1209"/>
      <c r="AA40" s="1209"/>
      <c r="AB40" s="1209"/>
      <c r="AC40" s="1209"/>
      <c r="AD40" s="1210"/>
      <c r="AE40" s="45"/>
      <c r="AF40" s="45"/>
      <c r="AG40" s="45"/>
      <c r="AH40" s="45"/>
      <c r="AI40" s="45"/>
      <c r="AJ40" s="45"/>
      <c r="AK40" s="49"/>
      <c r="AM40" s="488"/>
      <c r="AN40" s="488"/>
    </row>
    <row r="41" spans="1:40" ht="12" customHeight="1">
      <c r="A41" s="48"/>
      <c r="B41" s="45"/>
      <c r="C41" s="1208"/>
      <c r="D41" s="1209"/>
      <c r="E41" s="1209"/>
      <c r="F41" s="1209"/>
      <c r="G41" s="1209"/>
      <c r="H41" s="1209"/>
      <c r="I41" s="1209"/>
      <c r="J41" s="1209"/>
      <c r="K41" s="1209"/>
      <c r="L41" s="1209"/>
      <c r="M41" s="1209"/>
      <c r="N41" s="1209"/>
      <c r="O41" s="1209"/>
      <c r="P41" s="1209"/>
      <c r="Q41" s="1209"/>
      <c r="R41" s="1209"/>
      <c r="S41" s="1209"/>
      <c r="T41" s="1209"/>
      <c r="U41" s="1209"/>
      <c r="V41" s="1209"/>
      <c r="W41" s="1209"/>
      <c r="X41" s="1209"/>
      <c r="Y41" s="1209"/>
      <c r="Z41" s="1209"/>
      <c r="AA41" s="1209"/>
      <c r="AB41" s="1209"/>
      <c r="AC41" s="1209"/>
      <c r="AD41" s="1210"/>
      <c r="AE41" s="45"/>
      <c r="AF41" s="45"/>
      <c r="AG41" s="45"/>
      <c r="AH41" s="45"/>
      <c r="AI41" s="45"/>
      <c r="AJ41" s="45"/>
      <c r="AK41" s="49"/>
      <c r="AM41" s="488"/>
      <c r="AN41" s="488"/>
    </row>
    <row r="42" spans="1:40" ht="12" customHeight="1">
      <c r="A42" s="48"/>
      <c r="B42" s="45"/>
      <c r="C42" s="1211"/>
      <c r="D42" s="1212"/>
      <c r="E42" s="1212"/>
      <c r="F42" s="1212"/>
      <c r="G42" s="1212"/>
      <c r="H42" s="1212"/>
      <c r="I42" s="1212"/>
      <c r="J42" s="1212"/>
      <c r="K42" s="1212"/>
      <c r="L42" s="1212"/>
      <c r="M42" s="1212"/>
      <c r="N42" s="1212"/>
      <c r="O42" s="1212"/>
      <c r="P42" s="1212"/>
      <c r="Q42" s="1212"/>
      <c r="R42" s="1212"/>
      <c r="S42" s="1212"/>
      <c r="T42" s="1212"/>
      <c r="U42" s="1212"/>
      <c r="V42" s="1212"/>
      <c r="W42" s="1212"/>
      <c r="X42" s="1212"/>
      <c r="Y42" s="1212"/>
      <c r="Z42" s="1212"/>
      <c r="AA42" s="1212"/>
      <c r="AB42" s="1212"/>
      <c r="AC42" s="1212"/>
      <c r="AD42" s="1213"/>
      <c r="AE42" s="45"/>
      <c r="AF42" s="45"/>
      <c r="AG42" s="45"/>
      <c r="AH42" s="45"/>
      <c r="AI42" s="45"/>
      <c r="AJ42" s="45"/>
      <c r="AK42" s="49"/>
      <c r="AM42" s="488"/>
      <c r="AN42" s="488"/>
    </row>
    <row r="43" spans="1:40" ht="12" customHeight="1">
      <c r="A43" s="48"/>
      <c r="B43" s="45"/>
      <c r="C43" s="45"/>
      <c r="D43" s="45"/>
      <c r="E43" s="45"/>
      <c r="F43" s="45"/>
      <c r="G43" s="45"/>
      <c r="H43" s="45"/>
      <c r="I43" s="45"/>
      <c r="J43" s="45"/>
      <c r="K43" s="45"/>
      <c r="L43" s="45"/>
      <c r="M43" s="45"/>
      <c r="N43" s="45"/>
      <c r="O43" s="45"/>
      <c r="P43" s="45"/>
      <c r="Q43" s="45"/>
      <c r="R43" s="45"/>
      <c r="S43" s="45"/>
      <c r="T43" s="45"/>
      <c r="U43" s="45"/>
      <c r="V43" s="45"/>
      <c r="W43" s="45"/>
      <c r="X43" s="45"/>
      <c r="Y43" s="45"/>
      <c r="Z43" s="45"/>
      <c r="AA43" s="45"/>
      <c r="AB43" s="45"/>
      <c r="AC43" s="45"/>
      <c r="AD43" s="45"/>
      <c r="AE43" s="45"/>
      <c r="AF43" s="45"/>
      <c r="AG43" s="45"/>
      <c r="AH43" s="45"/>
      <c r="AI43" s="45"/>
      <c r="AJ43" s="45"/>
      <c r="AK43" s="49"/>
      <c r="AM43" s="488"/>
      <c r="AN43" s="488"/>
    </row>
    <row r="44" spans="1:40" ht="12.95" customHeight="1">
      <c r="A44" s="48"/>
      <c r="B44" s="1203" t="s">
        <v>289</v>
      </c>
      <c r="C44" s="1203"/>
      <c r="D44" s="1203"/>
      <c r="E44" s="1203"/>
      <c r="F44" s="1203"/>
      <c r="G44" s="1203"/>
      <c r="H44" s="1203"/>
      <c r="I44" s="1203"/>
      <c r="J44" s="1203"/>
      <c r="K44" s="1203"/>
      <c r="L44" s="1203"/>
      <c r="M44" s="1203"/>
      <c r="N44" s="1203"/>
      <c r="O44" s="1203"/>
      <c r="P44" s="1203"/>
      <c r="Q44" s="1203"/>
      <c r="R44" s="1203"/>
      <c r="S44" s="1203"/>
      <c r="T44" s="1203"/>
      <c r="U44" s="45"/>
      <c r="V44" s="45"/>
      <c r="W44" s="45"/>
      <c r="X44" s="45"/>
      <c r="Y44" s="45"/>
      <c r="Z44" s="45"/>
      <c r="AA44" s="45"/>
      <c r="AB44" s="45"/>
      <c r="AC44" s="45"/>
      <c r="AD44" s="45"/>
      <c r="AE44" s="483" t="str">
        <f>IF('Warrant 5&amp;6'!AD43="X","X","")</f>
        <v/>
      </c>
      <c r="AF44" s="172" t="s">
        <v>27</v>
      </c>
      <c r="AG44" s="172"/>
      <c r="AH44" s="483" t="str">
        <f>IF(AE44="","X","")</f>
        <v>X</v>
      </c>
      <c r="AI44" s="172" t="s">
        <v>28</v>
      </c>
      <c r="AJ44" s="45"/>
      <c r="AK44" s="49"/>
      <c r="AM44" s="488">
        <f>IF(AE44="X",1,0)</f>
        <v>0</v>
      </c>
      <c r="AN44" s="488"/>
    </row>
    <row r="45" spans="1:40" ht="12" customHeight="1">
      <c r="A45" s="48"/>
      <c r="B45" s="45"/>
      <c r="C45" s="45"/>
      <c r="D45" s="45"/>
      <c r="E45" s="45"/>
      <c r="F45" s="45"/>
      <c r="G45" s="45"/>
      <c r="H45" s="45"/>
      <c r="I45" s="45"/>
      <c r="J45" s="45"/>
      <c r="K45" s="45"/>
      <c r="L45" s="45"/>
      <c r="M45" s="45"/>
      <c r="N45" s="45"/>
      <c r="O45" s="45"/>
      <c r="P45" s="45"/>
      <c r="Q45" s="45"/>
      <c r="R45" s="45"/>
      <c r="S45" s="45"/>
      <c r="T45" s="45"/>
      <c r="U45" s="45"/>
      <c r="V45" s="45"/>
      <c r="W45" s="45"/>
      <c r="X45" s="45"/>
      <c r="Y45" s="45"/>
      <c r="Z45" s="45"/>
      <c r="AA45" s="45"/>
      <c r="AB45" s="45"/>
      <c r="AC45" s="45"/>
      <c r="AD45" s="45"/>
      <c r="AE45" s="45"/>
      <c r="AF45" s="45"/>
      <c r="AG45" s="45"/>
      <c r="AH45" s="45"/>
      <c r="AI45" s="45"/>
      <c r="AJ45" s="45"/>
      <c r="AK45" s="49"/>
      <c r="AM45" s="488"/>
      <c r="AN45" s="488"/>
    </row>
    <row r="46" spans="1:40" ht="12.95" customHeight="1">
      <c r="A46" s="48"/>
      <c r="B46" s="1203" t="s">
        <v>290</v>
      </c>
      <c r="C46" s="1203"/>
      <c r="D46" s="1203"/>
      <c r="E46" s="1203"/>
      <c r="F46" s="1203"/>
      <c r="G46" s="1203"/>
      <c r="H46" s="1203"/>
      <c r="I46" s="1203"/>
      <c r="J46" s="1203"/>
      <c r="K46" s="1203"/>
      <c r="L46" s="1203"/>
      <c r="M46" s="1203"/>
      <c r="N46" s="1203"/>
      <c r="O46" s="1203"/>
      <c r="P46" s="1203"/>
      <c r="Q46" s="1203"/>
      <c r="R46" s="1203"/>
      <c r="S46" s="1203"/>
      <c r="T46" s="1203"/>
      <c r="U46" s="45"/>
      <c r="V46" s="45"/>
      <c r="W46" s="45"/>
      <c r="X46" s="45"/>
      <c r="Y46" s="45"/>
      <c r="Z46" s="45"/>
      <c r="AA46" s="45"/>
      <c r="AB46" s="45"/>
      <c r="AC46" s="45"/>
      <c r="AD46" s="45"/>
      <c r="AE46" s="483" t="str">
        <f>IF('Warrant 7&amp;8'!AD6="X","X","")</f>
        <v/>
      </c>
      <c r="AF46" s="172" t="s">
        <v>27</v>
      </c>
      <c r="AG46" s="172"/>
      <c r="AH46" s="483" t="str">
        <f>IF(AE46="","X","")</f>
        <v>X</v>
      </c>
      <c r="AI46" s="172" t="s">
        <v>28</v>
      </c>
      <c r="AJ46" s="45"/>
      <c r="AK46" s="49"/>
      <c r="AM46" s="488">
        <f>IF(AE46="X",1,0)</f>
        <v>0</v>
      </c>
      <c r="AN46" s="488"/>
    </row>
    <row r="47" spans="1:40" ht="6" customHeight="1">
      <c r="A47" s="48"/>
      <c r="B47" s="45"/>
      <c r="C47" s="484"/>
      <c r="D47" s="45"/>
      <c r="E47" s="45"/>
      <c r="F47" s="45"/>
      <c r="G47" s="45"/>
      <c r="H47" s="45"/>
      <c r="I47" s="45"/>
      <c r="J47" s="45"/>
      <c r="K47" s="45"/>
      <c r="L47" s="45"/>
      <c r="M47" s="45"/>
      <c r="N47" s="45"/>
      <c r="O47" s="45"/>
      <c r="P47" s="45"/>
      <c r="Q47" s="45"/>
      <c r="R47" s="45"/>
      <c r="S47" s="45"/>
      <c r="T47" s="482"/>
      <c r="U47" s="172"/>
      <c r="V47" s="172"/>
      <c r="W47" s="482"/>
      <c r="X47" s="172"/>
      <c r="Y47" s="45"/>
      <c r="Z47" s="482"/>
      <c r="AA47" s="172"/>
      <c r="AB47" s="172"/>
      <c r="AC47" s="482"/>
      <c r="AD47" s="172"/>
      <c r="AE47" s="45"/>
      <c r="AF47" s="45"/>
      <c r="AG47" s="45"/>
      <c r="AH47" s="45"/>
      <c r="AI47" s="45"/>
      <c r="AJ47" s="45"/>
      <c r="AK47" s="49"/>
      <c r="AM47" s="488"/>
      <c r="AN47" s="488"/>
    </row>
    <row r="48" spans="1:40" ht="12" customHeight="1">
      <c r="A48" s="48"/>
      <c r="B48" s="45"/>
      <c r="C48" s="1204" t="s">
        <v>297</v>
      </c>
      <c r="D48" s="1204"/>
      <c r="E48" s="1204"/>
      <c r="F48" s="1204"/>
      <c r="G48" s="1204"/>
      <c r="H48" s="1204"/>
      <c r="I48" s="1204"/>
      <c r="J48" s="1204"/>
      <c r="K48" s="1204"/>
      <c r="L48" s="1204"/>
      <c r="M48" s="1204"/>
      <c r="N48" s="1204"/>
      <c r="O48" s="1204"/>
      <c r="P48" s="1204"/>
      <c r="Q48" s="1204"/>
      <c r="R48" s="1204"/>
      <c r="S48" s="1204"/>
      <c r="T48" s="1204"/>
      <c r="U48" s="1204"/>
      <c r="V48" s="1204"/>
      <c r="W48" s="1204"/>
      <c r="X48" s="1204"/>
      <c r="Y48" s="1204"/>
      <c r="Z48" s="1204"/>
      <c r="AA48" s="1204"/>
      <c r="AB48" s="1204"/>
      <c r="AC48" s="1204"/>
      <c r="AD48" s="1204"/>
      <c r="AE48" s="45"/>
      <c r="AF48" s="45"/>
      <c r="AG48" s="45"/>
      <c r="AH48" s="45"/>
      <c r="AI48" s="45"/>
      <c r="AJ48" s="45"/>
      <c r="AK48" s="49"/>
      <c r="AM48" s="488"/>
      <c r="AN48" s="488"/>
    </row>
    <row r="49" spans="1:40" ht="12" customHeight="1">
      <c r="A49" s="48"/>
      <c r="B49" s="45"/>
      <c r="C49" s="1205" t="str">
        <f>IF('Warrant 7&amp;8'!D16="","",'Warrant 7&amp;8'!D16)</f>
        <v/>
      </c>
      <c r="D49" s="1206"/>
      <c r="E49" s="1206"/>
      <c r="F49" s="1206"/>
      <c r="G49" s="1206"/>
      <c r="H49" s="1206"/>
      <c r="I49" s="1206"/>
      <c r="J49" s="1206"/>
      <c r="K49" s="1206"/>
      <c r="L49" s="1206"/>
      <c r="M49" s="1206"/>
      <c r="N49" s="1206"/>
      <c r="O49" s="1206"/>
      <c r="P49" s="1206"/>
      <c r="Q49" s="1206"/>
      <c r="R49" s="1206"/>
      <c r="S49" s="1206"/>
      <c r="T49" s="1206"/>
      <c r="U49" s="1206"/>
      <c r="V49" s="1206"/>
      <c r="W49" s="1206"/>
      <c r="X49" s="1206"/>
      <c r="Y49" s="1206"/>
      <c r="Z49" s="1206"/>
      <c r="AA49" s="1206"/>
      <c r="AB49" s="1206"/>
      <c r="AC49" s="1206"/>
      <c r="AD49" s="1207"/>
      <c r="AE49" s="45"/>
      <c r="AF49" s="45"/>
      <c r="AG49" s="45"/>
      <c r="AH49" s="45"/>
      <c r="AI49" s="45"/>
      <c r="AJ49" s="45"/>
      <c r="AK49" s="49"/>
      <c r="AM49" s="488"/>
      <c r="AN49" s="488"/>
    </row>
    <row r="50" spans="1:40" ht="12" customHeight="1">
      <c r="A50" s="48"/>
      <c r="B50" s="45"/>
      <c r="C50" s="1208"/>
      <c r="D50" s="1209"/>
      <c r="E50" s="1209"/>
      <c r="F50" s="1209"/>
      <c r="G50" s="1209"/>
      <c r="H50" s="1209"/>
      <c r="I50" s="1209"/>
      <c r="J50" s="1209"/>
      <c r="K50" s="1209"/>
      <c r="L50" s="1209"/>
      <c r="M50" s="1209"/>
      <c r="N50" s="1209"/>
      <c r="O50" s="1209"/>
      <c r="P50" s="1209"/>
      <c r="Q50" s="1209"/>
      <c r="R50" s="1209"/>
      <c r="S50" s="1209"/>
      <c r="T50" s="1209"/>
      <c r="U50" s="1209"/>
      <c r="V50" s="1209"/>
      <c r="W50" s="1209"/>
      <c r="X50" s="1209"/>
      <c r="Y50" s="1209"/>
      <c r="Z50" s="1209"/>
      <c r="AA50" s="1209"/>
      <c r="AB50" s="1209"/>
      <c r="AC50" s="1209"/>
      <c r="AD50" s="1210"/>
      <c r="AE50" s="45"/>
      <c r="AF50" s="45"/>
      <c r="AG50" s="45"/>
      <c r="AH50" s="45"/>
      <c r="AI50" s="45"/>
      <c r="AJ50" s="45"/>
      <c r="AK50" s="49"/>
      <c r="AM50" s="488"/>
      <c r="AN50" s="488"/>
    </row>
    <row r="51" spans="1:40" ht="12" customHeight="1">
      <c r="A51" s="48"/>
      <c r="B51" s="45"/>
      <c r="C51" s="1211"/>
      <c r="D51" s="1212"/>
      <c r="E51" s="1212"/>
      <c r="F51" s="1212"/>
      <c r="G51" s="1212"/>
      <c r="H51" s="1212"/>
      <c r="I51" s="1212"/>
      <c r="J51" s="1212"/>
      <c r="K51" s="1212"/>
      <c r="L51" s="1212"/>
      <c r="M51" s="1212"/>
      <c r="N51" s="1212"/>
      <c r="O51" s="1212"/>
      <c r="P51" s="1212"/>
      <c r="Q51" s="1212"/>
      <c r="R51" s="1212"/>
      <c r="S51" s="1212"/>
      <c r="T51" s="1212"/>
      <c r="U51" s="1212"/>
      <c r="V51" s="1212"/>
      <c r="W51" s="1212"/>
      <c r="X51" s="1212"/>
      <c r="Y51" s="1212"/>
      <c r="Z51" s="1212"/>
      <c r="AA51" s="1212"/>
      <c r="AB51" s="1212"/>
      <c r="AC51" s="1212"/>
      <c r="AD51" s="1213"/>
      <c r="AE51" s="45"/>
      <c r="AF51" s="45"/>
      <c r="AG51" s="45"/>
      <c r="AH51" s="45"/>
      <c r="AI51" s="45"/>
      <c r="AJ51" s="45"/>
      <c r="AK51" s="49"/>
      <c r="AM51" s="488"/>
      <c r="AN51" s="488"/>
    </row>
    <row r="52" spans="1:40" ht="12" customHeight="1">
      <c r="A52" s="48"/>
      <c r="B52" s="45"/>
      <c r="C52" s="45"/>
      <c r="D52" s="45"/>
      <c r="E52" s="45"/>
      <c r="F52" s="45"/>
      <c r="G52" s="45"/>
      <c r="H52" s="45"/>
      <c r="I52" s="45"/>
      <c r="J52" s="45"/>
      <c r="K52" s="45"/>
      <c r="L52" s="45"/>
      <c r="M52" s="45"/>
      <c r="N52" s="45"/>
      <c r="O52" s="45"/>
      <c r="P52" s="45"/>
      <c r="Q52" s="45"/>
      <c r="R52" s="45"/>
      <c r="S52" s="45"/>
      <c r="T52" s="45"/>
      <c r="U52" s="45"/>
      <c r="V52" s="45"/>
      <c r="W52" s="45"/>
      <c r="X52" s="45"/>
      <c r="Y52" s="45"/>
      <c r="Z52" s="45"/>
      <c r="AA52" s="45"/>
      <c r="AB52" s="45"/>
      <c r="AC52" s="45"/>
      <c r="AD52" s="45"/>
      <c r="AE52" s="45"/>
      <c r="AF52" s="45"/>
      <c r="AG52" s="45"/>
      <c r="AH52" s="45"/>
      <c r="AI52" s="45"/>
      <c r="AJ52" s="45"/>
      <c r="AK52" s="49"/>
      <c r="AM52" s="488"/>
      <c r="AN52" s="488"/>
    </row>
    <row r="53" spans="1:40" ht="12.95" customHeight="1">
      <c r="A53" s="48"/>
      <c r="B53" s="1203" t="s">
        <v>291</v>
      </c>
      <c r="C53" s="1203"/>
      <c r="D53" s="1203"/>
      <c r="E53" s="1203"/>
      <c r="F53" s="1203"/>
      <c r="G53" s="1203"/>
      <c r="H53" s="1203"/>
      <c r="I53" s="1203"/>
      <c r="J53" s="1203"/>
      <c r="K53" s="1203"/>
      <c r="L53" s="1203"/>
      <c r="M53" s="1203"/>
      <c r="N53" s="1203"/>
      <c r="O53" s="1203"/>
      <c r="P53" s="1203"/>
      <c r="Q53" s="1203"/>
      <c r="R53" s="1203"/>
      <c r="S53" s="1203"/>
      <c r="T53" s="1203"/>
      <c r="U53" s="45"/>
      <c r="V53" s="45"/>
      <c r="W53" s="45"/>
      <c r="X53" s="45"/>
      <c r="Y53" s="45"/>
      <c r="Z53" s="45"/>
      <c r="AA53" s="45"/>
      <c r="AB53" s="45"/>
      <c r="AC53" s="45"/>
      <c r="AD53" s="45"/>
      <c r="AE53" s="483" t="str">
        <f>IF('Warrant 7&amp;8'!AD32="X","X","")</f>
        <v/>
      </c>
      <c r="AF53" s="172" t="s">
        <v>27</v>
      </c>
      <c r="AG53" s="172"/>
      <c r="AH53" s="483" t="str">
        <f>IF(AE53="","X","")</f>
        <v>X</v>
      </c>
      <c r="AI53" s="172" t="s">
        <v>28</v>
      </c>
      <c r="AJ53" s="45"/>
      <c r="AK53" s="49"/>
      <c r="AM53" s="488">
        <f>IF(AE53="X",1,0)</f>
        <v>0</v>
      </c>
      <c r="AN53" s="488"/>
    </row>
    <row r="54" spans="1:40" ht="12" customHeight="1">
      <c r="A54" s="48"/>
      <c r="B54" s="45"/>
      <c r="C54" s="45"/>
      <c r="D54" s="45"/>
      <c r="E54" s="45"/>
      <c r="F54" s="45"/>
      <c r="G54" s="45"/>
      <c r="H54" s="45"/>
      <c r="I54" s="45"/>
      <c r="J54" s="45"/>
      <c r="K54" s="45"/>
      <c r="L54" s="45"/>
      <c r="M54" s="45"/>
      <c r="N54" s="45"/>
      <c r="O54" s="45"/>
      <c r="P54" s="45"/>
      <c r="Q54" s="45"/>
      <c r="R54" s="45"/>
      <c r="S54" s="45"/>
      <c r="T54" s="45"/>
      <c r="U54" s="45"/>
      <c r="V54" s="45"/>
      <c r="W54" s="45"/>
      <c r="X54" s="45"/>
      <c r="Y54" s="45"/>
      <c r="Z54" s="45"/>
      <c r="AA54" s="45"/>
      <c r="AB54" s="45"/>
      <c r="AC54" s="45"/>
      <c r="AD54" s="45"/>
      <c r="AE54" s="45"/>
      <c r="AF54" s="45"/>
      <c r="AG54" s="45"/>
      <c r="AH54" s="45"/>
      <c r="AI54" s="45"/>
      <c r="AJ54" s="45"/>
      <c r="AK54" s="49"/>
      <c r="AM54" s="488"/>
      <c r="AN54" s="488"/>
    </row>
    <row r="55" spans="1:40" ht="12.95" customHeight="1">
      <c r="A55" s="48"/>
      <c r="B55" s="1203" t="s">
        <v>292</v>
      </c>
      <c r="C55" s="1203"/>
      <c r="D55" s="1203"/>
      <c r="E55" s="1203"/>
      <c r="F55" s="1203"/>
      <c r="G55" s="1203"/>
      <c r="H55" s="1203"/>
      <c r="I55" s="1203"/>
      <c r="J55" s="1203"/>
      <c r="K55" s="1203"/>
      <c r="L55" s="1203"/>
      <c r="M55" s="1203"/>
      <c r="N55" s="1203"/>
      <c r="O55" s="1203"/>
      <c r="P55" s="1203"/>
      <c r="Q55" s="1203"/>
      <c r="R55" s="1203"/>
      <c r="S55" s="1203"/>
      <c r="T55" s="1203"/>
      <c r="U55" s="45"/>
      <c r="V55" s="45"/>
      <c r="W55" s="45"/>
      <c r="X55" s="45"/>
      <c r="Y55" s="45"/>
      <c r="Z55" s="45"/>
      <c r="AA55" s="45"/>
      <c r="AB55" s="45"/>
      <c r="AC55" s="45"/>
      <c r="AD55" s="45"/>
      <c r="AE55" s="483" t="str">
        <f>IF('Warrant 9'!AD13="X","X","")</f>
        <v/>
      </c>
      <c r="AF55" s="172" t="s">
        <v>27</v>
      </c>
      <c r="AG55" s="172"/>
      <c r="AH55" s="483" t="str">
        <f>IF(AE55="","X","")</f>
        <v>X</v>
      </c>
      <c r="AI55" s="172" t="s">
        <v>28</v>
      </c>
      <c r="AJ55" s="45"/>
      <c r="AK55" s="49"/>
      <c r="AM55" s="488">
        <f>IF(AE55="X",1,0)</f>
        <v>0</v>
      </c>
      <c r="AN55" s="488"/>
    </row>
    <row r="56" spans="1:40" ht="12" customHeight="1">
      <c r="A56" s="48"/>
      <c r="B56" s="51"/>
      <c r="C56" s="51"/>
      <c r="D56" s="51"/>
      <c r="E56" s="51"/>
      <c r="F56" s="51"/>
      <c r="G56" s="51"/>
      <c r="H56" s="51"/>
      <c r="I56" s="51"/>
      <c r="J56" s="51"/>
      <c r="K56" s="51"/>
      <c r="L56" s="51"/>
      <c r="M56" s="51"/>
      <c r="N56" s="51"/>
      <c r="O56" s="51"/>
      <c r="P56" s="51"/>
      <c r="Q56" s="51"/>
      <c r="R56" s="51"/>
      <c r="S56" s="51"/>
      <c r="T56" s="51"/>
      <c r="U56" s="51"/>
      <c r="V56" s="51"/>
      <c r="W56" s="51"/>
      <c r="X56" s="51"/>
      <c r="Y56" s="51"/>
      <c r="Z56" s="51"/>
      <c r="AA56" s="51"/>
      <c r="AB56" s="51"/>
      <c r="AC56" s="51"/>
      <c r="AD56" s="51"/>
      <c r="AE56" s="51"/>
      <c r="AF56" s="51"/>
      <c r="AG56" s="51"/>
      <c r="AH56" s="51"/>
      <c r="AI56" s="51"/>
      <c r="AJ56" s="51"/>
      <c r="AK56" s="49"/>
      <c r="AM56" s="488"/>
      <c r="AN56" s="488"/>
    </row>
    <row r="57" spans="1:40" ht="12" customHeight="1">
      <c r="A57" s="48"/>
      <c r="B57" s="485"/>
      <c r="C57" s="485"/>
      <c r="D57" s="485"/>
      <c r="E57" s="485"/>
      <c r="F57" s="485"/>
      <c r="G57" s="485"/>
      <c r="H57" s="485"/>
      <c r="I57" s="485"/>
      <c r="J57" s="485"/>
      <c r="K57" s="485"/>
      <c r="L57" s="485"/>
      <c r="M57" s="485"/>
      <c r="N57" s="485"/>
      <c r="O57" s="485"/>
      <c r="P57" s="485"/>
      <c r="Q57" s="485"/>
      <c r="R57" s="485"/>
      <c r="S57" s="485"/>
      <c r="T57" s="485"/>
      <c r="U57" s="485"/>
      <c r="V57" s="485"/>
      <c r="W57" s="485"/>
      <c r="X57" s="485"/>
      <c r="Y57" s="485"/>
      <c r="Z57" s="485"/>
      <c r="AA57" s="485"/>
      <c r="AB57" s="485"/>
      <c r="AC57" s="485"/>
      <c r="AD57" s="485"/>
      <c r="AE57" s="485"/>
      <c r="AF57" s="485"/>
      <c r="AG57" s="485"/>
      <c r="AH57" s="485"/>
      <c r="AI57" s="485"/>
      <c r="AJ57" s="485"/>
      <c r="AK57" s="49"/>
      <c r="AM57" s="488"/>
      <c r="AN57" s="488"/>
    </row>
    <row r="58" spans="1:40" ht="12.95" customHeight="1">
      <c r="A58" s="48"/>
      <c r="B58" s="1203" t="s">
        <v>298</v>
      </c>
      <c r="C58" s="1203"/>
      <c r="D58" s="1203"/>
      <c r="E58" s="1203"/>
      <c r="F58" s="1203"/>
      <c r="G58" s="1203"/>
      <c r="H58" s="1203"/>
      <c r="I58" s="486"/>
      <c r="J58" s="486"/>
      <c r="K58" s="486"/>
      <c r="L58" s="486"/>
      <c r="M58" s="486"/>
      <c r="N58" s="486"/>
      <c r="O58" s="486"/>
      <c r="P58" s="486"/>
      <c r="Q58" s="486"/>
      <c r="R58" s="1221" t="s">
        <v>299</v>
      </c>
      <c r="S58" s="1221"/>
      <c r="T58" s="1221"/>
      <c r="U58" s="1221"/>
      <c r="V58" s="1221"/>
      <c r="W58" s="1221"/>
      <c r="X58" s="1221"/>
      <c r="Y58" s="1222"/>
      <c r="Z58" s="487" t="str">
        <f>IF(AM14=1,1,"")</f>
        <v/>
      </c>
      <c r="AA58" s="487" t="str">
        <f>IF(AM25=1,2,"")</f>
        <v/>
      </c>
      <c r="AB58" s="487" t="str">
        <f>IF(AM27=1,3,"")</f>
        <v/>
      </c>
      <c r="AC58" s="487" t="str">
        <f>IF(AM34=1,4,"")</f>
        <v/>
      </c>
      <c r="AD58" s="487" t="str">
        <f>IF(AM36=1,5,"")</f>
        <v/>
      </c>
      <c r="AE58" s="487" t="str">
        <f>IF(AM44=1,6,"")</f>
        <v/>
      </c>
      <c r="AF58" s="487" t="str">
        <f>IF(AM46=1,7,"")</f>
        <v/>
      </c>
      <c r="AG58" s="487" t="str">
        <f>IF(AM53=1,8,"")</f>
        <v/>
      </c>
      <c r="AH58" s="487" t="str">
        <f>IF(AM55=1,9,"")</f>
        <v/>
      </c>
      <c r="AI58" s="45"/>
      <c r="AJ58" s="45"/>
      <c r="AK58" s="49"/>
      <c r="AM58" s="488"/>
      <c r="AN58" s="488"/>
    </row>
    <row r="59" spans="1:40" ht="12" customHeight="1">
      <c r="A59" s="48"/>
      <c r="B59" s="45"/>
      <c r="C59" s="45"/>
      <c r="D59" s="45"/>
      <c r="E59" s="45"/>
      <c r="F59" s="45"/>
      <c r="G59" s="45"/>
      <c r="H59" s="45"/>
      <c r="I59" s="45"/>
      <c r="J59" s="45"/>
      <c r="K59" s="45"/>
      <c r="L59" s="45"/>
      <c r="M59" s="45"/>
      <c r="N59" s="45"/>
      <c r="O59" s="45"/>
      <c r="P59" s="45"/>
      <c r="Q59" s="45"/>
      <c r="R59" s="45"/>
      <c r="S59" s="45"/>
      <c r="T59" s="45"/>
      <c r="U59" s="45"/>
      <c r="V59" s="45"/>
      <c r="W59" s="45"/>
      <c r="X59" s="45"/>
      <c r="Y59" s="45"/>
      <c r="Z59" s="45"/>
      <c r="AA59" s="45"/>
      <c r="AB59" s="45"/>
      <c r="AC59" s="45"/>
      <c r="AD59" s="45"/>
      <c r="AE59" s="45"/>
      <c r="AF59" s="45"/>
      <c r="AG59" s="45"/>
      <c r="AH59" s="45"/>
      <c r="AI59" s="45"/>
      <c r="AJ59" s="45"/>
      <c r="AK59" s="49"/>
      <c r="AM59" s="488"/>
      <c r="AN59" s="488"/>
    </row>
    <row r="60" spans="1:40" ht="15" customHeight="1">
      <c r="A60" s="48"/>
      <c r="B60" s="1223" t="s">
        <v>300</v>
      </c>
      <c r="C60" s="1223"/>
      <c r="D60" s="1223"/>
      <c r="E60" s="1223"/>
      <c r="F60" s="1224"/>
      <c r="G60" s="1224"/>
      <c r="H60" s="1224"/>
      <c r="I60" s="1224"/>
      <c r="J60" s="1224"/>
      <c r="K60" s="1224"/>
      <c r="L60" s="1224"/>
      <c r="M60" s="1224"/>
      <c r="N60" s="1224"/>
      <c r="O60" s="1224"/>
      <c r="P60" s="1224"/>
      <c r="Q60" s="1224"/>
      <c r="R60" s="1224"/>
      <c r="S60" s="1224"/>
      <c r="T60" s="1224"/>
      <c r="U60" s="1224"/>
      <c r="V60" s="1224"/>
      <c r="W60" s="1224"/>
      <c r="X60" s="1224"/>
      <c r="Y60" s="1224"/>
      <c r="Z60" s="1224"/>
      <c r="AA60" s="1224"/>
      <c r="AB60" s="1224"/>
      <c r="AC60" s="1224"/>
      <c r="AD60" s="1224"/>
      <c r="AE60" s="1224"/>
      <c r="AF60" s="1224"/>
      <c r="AG60" s="1224"/>
      <c r="AH60" s="1224"/>
      <c r="AI60" s="45"/>
      <c r="AJ60" s="45"/>
      <c r="AK60" s="49"/>
      <c r="AM60" s="488"/>
      <c r="AN60" s="488"/>
    </row>
    <row r="61" spans="1:40" ht="15" customHeight="1">
      <c r="A61" s="48"/>
      <c r="B61" s="45"/>
      <c r="C61" s="45"/>
      <c r="D61" s="45"/>
      <c r="E61" s="45"/>
      <c r="F61" s="1224"/>
      <c r="G61" s="1224"/>
      <c r="H61" s="1224"/>
      <c r="I61" s="1224"/>
      <c r="J61" s="1224"/>
      <c r="K61" s="1224"/>
      <c r="L61" s="1224"/>
      <c r="M61" s="1224"/>
      <c r="N61" s="1224"/>
      <c r="O61" s="1224"/>
      <c r="P61" s="1224"/>
      <c r="Q61" s="1224"/>
      <c r="R61" s="1224"/>
      <c r="S61" s="1224"/>
      <c r="T61" s="1224"/>
      <c r="U61" s="1224"/>
      <c r="V61" s="1224"/>
      <c r="W61" s="1224"/>
      <c r="X61" s="1224"/>
      <c r="Y61" s="1224"/>
      <c r="Z61" s="1224"/>
      <c r="AA61" s="1224"/>
      <c r="AB61" s="1224"/>
      <c r="AC61" s="1224"/>
      <c r="AD61" s="1224"/>
      <c r="AE61" s="1224"/>
      <c r="AF61" s="1224"/>
      <c r="AG61" s="1224"/>
      <c r="AH61" s="1224"/>
      <c r="AI61" s="45"/>
      <c r="AJ61" s="45"/>
      <c r="AK61" s="49"/>
      <c r="AM61" s="488"/>
      <c r="AN61" s="488"/>
    </row>
    <row r="62" spans="1:40" ht="15" customHeight="1">
      <c r="A62" s="48"/>
      <c r="B62" s="45"/>
      <c r="C62" s="45"/>
      <c r="D62" s="45"/>
      <c r="E62" s="45"/>
      <c r="F62" s="1224"/>
      <c r="G62" s="1224"/>
      <c r="H62" s="1224"/>
      <c r="I62" s="1224"/>
      <c r="J62" s="1224"/>
      <c r="K62" s="1224"/>
      <c r="L62" s="1224"/>
      <c r="M62" s="1224"/>
      <c r="N62" s="1224"/>
      <c r="O62" s="1224"/>
      <c r="P62" s="1224"/>
      <c r="Q62" s="1224"/>
      <c r="R62" s="1224"/>
      <c r="S62" s="1224"/>
      <c r="T62" s="1224"/>
      <c r="U62" s="1224"/>
      <c r="V62" s="1224"/>
      <c r="W62" s="1224"/>
      <c r="X62" s="1224"/>
      <c r="Y62" s="1224"/>
      <c r="Z62" s="1224"/>
      <c r="AA62" s="1224"/>
      <c r="AB62" s="1224"/>
      <c r="AC62" s="1224"/>
      <c r="AD62" s="1224"/>
      <c r="AE62" s="1224"/>
      <c r="AF62" s="1224"/>
      <c r="AG62" s="1224"/>
      <c r="AH62" s="1224"/>
      <c r="AI62" s="45"/>
      <c r="AJ62" s="45"/>
      <c r="AK62" s="49"/>
      <c r="AM62" s="488"/>
      <c r="AN62" s="488"/>
    </row>
    <row r="63" spans="1:40" ht="15" customHeight="1">
      <c r="A63" s="48"/>
      <c r="B63" s="45"/>
      <c r="C63" s="45"/>
      <c r="D63" s="45"/>
      <c r="E63" s="45"/>
      <c r="F63" s="1224"/>
      <c r="G63" s="1224"/>
      <c r="H63" s="1224"/>
      <c r="I63" s="1224"/>
      <c r="J63" s="1224"/>
      <c r="K63" s="1224"/>
      <c r="L63" s="1224"/>
      <c r="M63" s="1224"/>
      <c r="N63" s="1224"/>
      <c r="O63" s="1224"/>
      <c r="P63" s="1224"/>
      <c r="Q63" s="1224"/>
      <c r="R63" s="1224"/>
      <c r="S63" s="1224"/>
      <c r="T63" s="1224"/>
      <c r="U63" s="1224"/>
      <c r="V63" s="1224"/>
      <c r="W63" s="1224"/>
      <c r="X63" s="1224"/>
      <c r="Y63" s="1224"/>
      <c r="Z63" s="1224"/>
      <c r="AA63" s="1224"/>
      <c r="AB63" s="1224"/>
      <c r="AC63" s="1224"/>
      <c r="AD63" s="1224"/>
      <c r="AE63" s="1224"/>
      <c r="AF63" s="1224"/>
      <c r="AG63" s="1224"/>
      <c r="AH63" s="1224"/>
      <c r="AI63" s="45"/>
      <c r="AJ63" s="45"/>
      <c r="AK63" s="49"/>
      <c r="AM63" s="488"/>
      <c r="AN63" s="488"/>
    </row>
    <row r="64" spans="1:40" ht="15" customHeight="1">
      <c r="A64" s="48"/>
      <c r="B64" s="45"/>
      <c r="C64" s="45"/>
      <c r="D64" s="45"/>
      <c r="E64" s="45"/>
      <c r="F64" s="1224"/>
      <c r="G64" s="1224"/>
      <c r="H64" s="1224"/>
      <c r="I64" s="1224"/>
      <c r="J64" s="1224"/>
      <c r="K64" s="1224"/>
      <c r="L64" s="1224"/>
      <c r="M64" s="1224"/>
      <c r="N64" s="1224"/>
      <c r="O64" s="1224"/>
      <c r="P64" s="1224"/>
      <c r="Q64" s="1224"/>
      <c r="R64" s="1224"/>
      <c r="S64" s="1224"/>
      <c r="T64" s="1224"/>
      <c r="U64" s="1224"/>
      <c r="V64" s="1224"/>
      <c r="W64" s="1224"/>
      <c r="X64" s="1224"/>
      <c r="Y64" s="1224"/>
      <c r="Z64" s="1224"/>
      <c r="AA64" s="1224"/>
      <c r="AB64" s="1224"/>
      <c r="AC64" s="1224"/>
      <c r="AD64" s="1224"/>
      <c r="AE64" s="1224"/>
      <c r="AF64" s="1224"/>
      <c r="AG64" s="1224"/>
      <c r="AH64" s="1224"/>
      <c r="AI64" s="45"/>
      <c r="AJ64" s="45"/>
      <c r="AK64" s="49"/>
      <c r="AM64" s="488"/>
      <c r="AN64" s="488"/>
    </row>
    <row r="65" spans="1:40" ht="12" customHeight="1">
      <c r="A65" s="50"/>
      <c r="B65" s="51"/>
      <c r="C65" s="51"/>
      <c r="D65" s="51"/>
      <c r="E65" s="51"/>
      <c r="F65" s="51"/>
      <c r="G65" s="51"/>
      <c r="H65" s="51"/>
      <c r="I65" s="51"/>
      <c r="J65" s="51"/>
      <c r="K65" s="51"/>
      <c r="L65" s="51"/>
      <c r="M65" s="51"/>
      <c r="N65" s="51"/>
      <c r="O65" s="51"/>
      <c r="P65" s="51"/>
      <c r="Q65" s="51"/>
      <c r="R65" s="51"/>
      <c r="S65" s="51"/>
      <c r="T65" s="51"/>
      <c r="U65" s="51"/>
      <c r="V65" s="51"/>
      <c r="W65" s="51"/>
      <c r="X65" s="51"/>
      <c r="Y65" s="51"/>
      <c r="Z65" s="51"/>
      <c r="AA65" s="51"/>
      <c r="AB65" s="51"/>
      <c r="AC65" s="51"/>
      <c r="AD65" s="51"/>
      <c r="AE65" s="51"/>
      <c r="AF65" s="51"/>
      <c r="AG65" s="51"/>
      <c r="AH65" s="51"/>
      <c r="AI65" s="51"/>
      <c r="AJ65" s="51"/>
      <c r="AK65" s="52"/>
      <c r="AM65" s="488"/>
      <c r="AN65" s="488"/>
    </row>
    <row r="66" spans="1:40" ht="12" customHeight="1"/>
    <row r="67" spans="1:40" ht="12" customHeight="1"/>
    <row r="68" spans="1:40" ht="12" customHeight="1"/>
    <row r="69" spans="1:40" ht="12" customHeight="1"/>
    <row r="70" spans="1:40" ht="12" customHeight="1"/>
    <row r="71" spans="1:40" ht="12" customHeight="1"/>
    <row r="72" spans="1:40" ht="12" customHeight="1"/>
    <row r="73" spans="1:40" ht="12" customHeight="1"/>
    <row r="74" spans="1:40" ht="12" customHeight="1"/>
    <row r="75" spans="1:40" ht="12" customHeight="1"/>
    <row r="76" spans="1:40" ht="12" customHeight="1"/>
    <row r="77" spans="1:40" ht="12" customHeight="1"/>
    <row r="78" spans="1:40" ht="12" customHeight="1"/>
    <row r="79" spans="1:40" ht="12" customHeight="1"/>
    <row r="80" spans="1:40" ht="12" customHeight="1"/>
    <row r="81" ht="12" customHeight="1"/>
    <row r="82" ht="12" customHeight="1"/>
    <row r="83" ht="12" customHeight="1"/>
    <row r="84" ht="12" customHeight="1"/>
    <row r="85" ht="12" customHeight="1"/>
    <row r="86" ht="12" customHeight="1"/>
    <row r="87" ht="12" customHeight="1"/>
    <row r="88" ht="12" customHeight="1"/>
    <row r="89" ht="12" customHeight="1"/>
    <row r="90" ht="12" customHeight="1"/>
    <row r="91" ht="12" customHeight="1"/>
    <row r="92" ht="12" customHeight="1"/>
    <row r="93" ht="12" customHeight="1"/>
    <row r="94" ht="12" customHeight="1"/>
    <row r="95" ht="12" customHeight="1"/>
    <row r="96" ht="12" customHeight="1"/>
  </sheetData>
  <sheetProtection password="F193" sheet="1" objects="1" scenarios="1" selectLockedCells="1"/>
  <mergeCells count="40">
    <mergeCell ref="F61:AH61"/>
    <mergeCell ref="F62:AH62"/>
    <mergeCell ref="F63:AH63"/>
    <mergeCell ref="F64:AH64"/>
    <mergeCell ref="B58:H58"/>
    <mergeCell ref="R58:Y58"/>
    <mergeCell ref="B60:E60"/>
    <mergeCell ref="F60:AH60"/>
    <mergeCell ref="B14:T14"/>
    <mergeCell ref="AD13:AJ13"/>
    <mergeCell ref="B2:AJ3"/>
    <mergeCell ref="G4:O4"/>
    <mergeCell ref="Y4:AI4"/>
    <mergeCell ref="G5:O5"/>
    <mergeCell ref="Y5:AI5"/>
    <mergeCell ref="G6:O6"/>
    <mergeCell ref="Y6:AI6"/>
    <mergeCell ref="G7:O7"/>
    <mergeCell ref="Y7:AI7"/>
    <mergeCell ref="G9:Q9"/>
    <mergeCell ref="AH9:AI9"/>
    <mergeCell ref="G10:Q10"/>
    <mergeCell ref="Z16:AD16"/>
    <mergeCell ref="T16:X16"/>
    <mergeCell ref="B25:T25"/>
    <mergeCell ref="B27:T27"/>
    <mergeCell ref="B34:T34"/>
    <mergeCell ref="C21:AD23"/>
    <mergeCell ref="C20:AD20"/>
    <mergeCell ref="C29:AD29"/>
    <mergeCell ref="C30:AD32"/>
    <mergeCell ref="B36:T36"/>
    <mergeCell ref="B44:T44"/>
    <mergeCell ref="B46:T46"/>
    <mergeCell ref="B53:T53"/>
    <mergeCell ref="B55:T55"/>
    <mergeCell ref="C38:AD38"/>
    <mergeCell ref="C39:AD42"/>
    <mergeCell ref="C48:AD48"/>
    <mergeCell ref="C49:AD51"/>
  </mergeCells>
  <conditionalFormatting sqref="W17:W19 T17:T19 W28 T28 W37 T37 W47 T47">
    <cfRule type="expression" dxfId="0" priority="4">
      <formula>$AN$17&lt;&gt;1</formula>
    </cfRule>
  </conditionalFormatting>
  <printOptions horizontalCentered="1"/>
  <pageMargins left="0.5" right="0.25" top="0.25" bottom="0.5" header="0.3" footer="0.3"/>
  <pageSetup orientation="portrait" r:id="rId1"/>
  <headerFooter>
    <oddFooter>&amp;L&amp;"Arial,Italic"&amp;8Based on MUTCD 2009
Summary Page&amp;C&amp;"Arial,Bold"&amp;8NOTE:&amp;"Arial,Italic"  The satisfaction of a warrant or warrants shall not in
itself require the installation of a traffic control signal.&amp;R&amp;"Arial,Italic"&amp;8rev. 05/2011</oddFooter>
  </headerFooter>
</worksheet>
</file>

<file path=xl/worksheets/sheet2.xml><?xml version="1.0" encoding="utf-8"?>
<worksheet xmlns="http://schemas.openxmlformats.org/spreadsheetml/2006/main" xmlns:r="http://schemas.openxmlformats.org/officeDocument/2006/relationships">
  <sheetPr codeName="Sheet5"/>
  <dimension ref="A1:BT75"/>
  <sheetViews>
    <sheetView showGridLines="0" workbookViewId="0">
      <selection activeCell="AB16" sqref="AB16:AC17"/>
    </sheetView>
  </sheetViews>
  <sheetFormatPr defaultColWidth="2.7109375" defaultRowHeight="12" customHeight="1"/>
  <cols>
    <col min="1" max="1" width="0.85546875" customWidth="1"/>
    <col min="37" max="37" width="0.85546875" customWidth="1"/>
    <col min="40" max="43" width="2.7109375" hidden="1" customWidth="1"/>
    <col min="44" max="48" width="2.7109375" customWidth="1"/>
  </cols>
  <sheetData>
    <row r="1" spans="1:43" ht="6" customHeight="1">
      <c r="A1" s="46"/>
      <c r="B1" s="19"/>
      <c r="C1" s="19"/>
      <c r="D1" s="19"/>
      <c r="E1" s="19"/>
      <c r="F1" s="19"/>
      <c r="G1" s="19"/>
      <c r="H1" s="19"/>
      <c r="I1" s="19"/>
      <c r="J1" s="19"/>
      <c r="K1" s="19"/>
      <c r="L1" s="19"/>
      <c r="M1" s="19"/>
      <c r="N1" s="19"/>
      <c r="O1" s="19"/>
      <c r="P1" s="19"/>
      <c r="Q1" s="19"/>
      <c r="R1" s="19"/>
      <c r="S1" s="19"/>
      <c r="T1" s="19"/>
      <c r="U1" s="19"/>
      <c r="V1" s="19"/>
      <c r="W1" s="19"/>
      <c r="X1" s="19"/>
      <c r="Y1" s="19"/>
      <c r="Z1" s="19"/>
      <c r="AA1" s="19"/>
      <c r="AB1" s="19"/>
      <c r="AC1" s="19"/>
      <c r="AD1" s="19"/>
      <c r="AE1" s="19"/>
      <c r="AF1" s="19"/>
      <c r="AG1" s="19"/>
      <c r="AH1" s="19"/>
      <c r="AI1" s="19"/>
      <c r="AJ1" s="19"/>
      <c r="AK1" s="47"/>
    </row>
    <row r="2" spans="1:43" ht="9.9499999999999993" customHeight="1">
      <c r="A2" s="48"/>
      <c r="B2" s="492" t="s">
        <v>293</v>
      </c>
      <c r="C2" s="492"/>
      <c r="D2" s="492"/>
      <c r="E2" s="492"/>
      <c r="F2" s="492"/>
      <c r="G2" s="492"/>
      <c r="H2" s="492"/>
      <c r="I2" s="492"/>
      <c r="J2" s="492"/>
      <c r="K2" s="492"/>
      <c r="L2" s="492"/>
      <c r="M2" s="492"/>
      <c r="N2" s="492"/>
      <c r="O2" s="492"/>
      <c r="P2" s="492"/>
      <c r="Q2" s="492"/>
      <c r="R2" s="492"/>
      <c r="S2" s="492"/>
      <c r="T2" s="492"/>
      <c r="U2" s="492"/>
      <c r="V2" s="492"/>
      <c r="W2" s="492"/>
      <c r="X2" s="492"/>
      <c r="Y2" s="492"/>
      <c r="Z2" s="492"/>
      <c r="AA2" s="492"/>
      <c r="AB2" s="492"/>
      <c r="AC2" s="492"/>
      <c r="AD2" s="492"/>
      <c r="AE2" s="492"/>
      <c r="AF2" s="492"/>
      <c r="AG2" s="492"/>
      <c r="AH2" s="492"/>
      <c r="AI2" s="492"/>
      <c r="AJ2" s="492"/>
      <c r="AK2" s="49"/>
    </row>
    <row r="3" spans="1:43" ht="9.9499999999999993" customHeight="1">
      <c r="A3" s="48"/>
      <c r="B3" s="492"/>
      <c r="C3" s="492"/>
      <c r="D3" s="492"/>
      <c r="E3" s="492"/>
      <c r="F3" s="492"/>
      <c r="G3" s="492"/>
      <c r="H3" s="492"/>
      <c r="I3" s="492"/>
      <c r="J3" s="492"/>
      <c r="K3" s="492"/>
      <c r="L3" s="492"/>
      <c r="M3" s="492"/>
      <c r="N3" s="492"/>
      <c r="O3" s="492"/>
      <c r="P3" s="492"/>
      <c r="Q3" s="492"/>
      <c r="R3" s="492"/>
      <c r="S3" s="492"/>
      <c r="T3" s="492"/>
      <c r="U3" s="492"/>
      <c r="V3" s="492"/>
      <c r="W3" s="492"/>
      <c r="X3" s="492"/>
      <c r="Y3" s="492"/>
      <c r="Z3" s="492"/>
      <c r="AA3" s="492"/>
      <c r="AB3" s="492"/>
      <c r="AC3" s="492"/>
      <c r="AD3" s="492"/>
      <c r="AE3" s="492"/>
      <c r="AF3" s="492"/>
      <c r="AG3" s="492"/>
      <c r="AH3" s="492"/>
      <c r="AI3" s="492"/>
      <c r="AJ3" s="492"/>
      <c r="AK3" s="49"/>
    </row>
    <row r="4" spans="1:43" ht="6" customHeight="1">
      <c r="A4" s="48"/>
      <c r="B4" s="176"/>
      <c r="C4" s="176"/>
      <c r="D4" s="176"/>
      <c r="E4" s="176"/>
      <c r="F4" s="176"/>
      <c r="G4" s="176"/>
      <c r="H4" s="176"/>
      <c r="I4" s="176"/>
      <c r="J4" s="176"/>
      <c r="K4" s="176"/>
      <c r="L4" s="176"/>
      <c r="M4" s="176"/>
      <c r="N4" s="176"/>
      <c r="O4" s="176"/>
      <c r="P4" s="176"/>
      <c r="Q4" s="176"/>
      <c r="R4" s="176"/>
      <c r="S4" s="176"/>
      <c r="T4" s="176"/>
      <c r="U4" s="176"/>
      <c r="V4" s="176"/>
      <c r="W4" s="176"/>
      <c r="X4" s="176"/>
      <c r="Y4" s="176"/>
      <c r="Z4" s="176"/>
      <c r="AA4" s="176"/>
      <c r="AB4" s="176"/>
      <c r="AC4" s="176"/>
      <c r="AD4" s="176"/>
      <c r="AE4" s="176"/>
      <c r="AF4" s="176"/>
      <c r="AG4" s="176"/>
      <c r="AH4" s="176"/>
      <c r="AI4" s="176"/>
      <c r="AJ4" s="34"/>
      <c r="AK4" s="49"/>
    </row>
    <row r="5" spans="1:43" ht="6" customHeight="1">
      <c r="A5" s="48"/>
      <c r="B5" s="26"/>
      <c r="C5" s="26"/>
      <c r="D5" s="26"/>
      <c r="E5" s="26"/>
      <c r="F5" s="26"/>
      <c r="G5" s="26"/>
      <c r="H5" s="26"/>
      <c r="I5" s="26"/>
      <c r="J5" s="26"/>
      <c r="K5" s="26"/>
      <c r="L5" s="26"/>
      <c r="M5" s="26"/>
      <c r="N5" s="26"/>
      <c r="O5" s="26"/>
      <c r="P5" s="26"/>
      <c r="Q5" s="26"/>
      <c r="R5" s="26"/>
      <c r="S5" s="26"/>
      <c r="T5" s="26"/>
      <c r="U5" s="26"/>
      <c r="V5" s="26"/>
      <c r="W5" s="26"/>
      <c r="X5" s="26"/>
      <c r="Y5" s="26"/>
      <c r="Z5" s="26"/>
      <c r="AA5" s="26"/>
      <c r="AB5" s="26"/>
      <c r="AC5" s="26"/>
      <c r="AD5" s="26"/>
      <c r="AE5" s="26"/>
      <c r="AF5" s="26"/>
      <c r="AG5" s="26"/>
      <c r="AH5" s="26"/>
      <c r="AI5" s="26"/>
      <c r="AJ5" s="26"/>
      <c r="AK5" s="49"/>
    </row>
    <row r="6" spans="1:43" ht="14.1" customHeight="1">
      <c r="A6" s="48"/>
      <c r="B6" s="35"/>
      <c r="C6" s="206" t="s">
        <v>56</v>
      </c>
      <c r="D6" s="26"/>
      <c r="E6" s="26"/>
      <c r="F6" s="26"/>
      <c r="G6" s="26"/>
      <c r="H6" s="26"/>
      <c r="I6" s="26"/>
      <c r="J6" s="26"/>
      <c r="K6" s="26"/>
      <c r="L6" s="26"/>
      <c r="M6" s="26"/>
      <c r="N6" s="26"/>
      <c r="O6" s="26"/>
      <c r="P6" s="26"/>
      <c r="Q6" s="26"/>
      <c r="R6" s="26"/>
      <c r="S6" s="26"/>
      <c r="T6" s="26"/>
      <c r="U6" s="26"/>
      <c r="V6" s="26"/>
      <c r="W6" s="26"/>
      <c r="X6" s="26"/>
      <c r="Y6" s="26"/>
      <c r="Z6" s="26"/>
      <c r="AA6" s="26"/>
      <c r="AB6" s="31" t="s">
        <v>37</v>
      </c>
      <c r="AC6" s="26"/>
      <c r="AD6" s="213" t="str">
        <f>IF('Warrant 1'!W9="","",IF(AN6=1,"X",""))</f>
        <v/>
      </c>
      <c r="AE6" s="29" t="s">
        <v>27</v>
      </c>
      <c r="AF6" s="29"/>
      <c r="AG6" s="213" t="str">
        <f>IF('Warrant 1'!W9="","",IF(AD6="X","","X"))</f>
        <v/>
      </c>
      <c r="AH6" s="29" t="s">
        <v>28</v>
      </c>
      <c r="AI6" s="26"/>
      <c r="AJ6" s="170"/>
      <c r="AK6" s="49"/>
      <c r="AN6" s="18">
        <f ca="1">IF(W2Calc!L37=4,1,0)</f>
        <v>0</v>
      </c>
    </row>
    <row r="7" spans="1:43" ht="6" customHeight="1">
      <c r="A7" s="48"/>
      <c r="B7" s="35"/>
      <c r="C7" s="37"/>
      <c r="D7" s="26"/>
      <c r="E7" s="26"/>
      <c r="F7" s="26"/>
      <c r="G7" s="26"/>
      <c r="H7" s="26"/>
      <c r="I7" s="26"/>
      <c r="J7" s="26"/>
      <c r="K7" s="26"/>
      <c r="L7" s="26"/>
      <c r="M7" s="26"/>
      <c r="N7" s="26"/>
      <c r="O7" s="26"/>
      <c r="P7" s="26"/>
      <c r="Q7" s="26"/>
      <c r="R7" s="26"/>
      <c r="S7" s="26"/>
      <c r="T7" s="26"/>
      <c r="U7" s="26"/>
      <c r="V7" s="26"/>
      <c r="W7" s="26"/>
      <c r="X7" s="26"/>
      <c r="Y7" s="26"/>
      <c r="Z7" s="26"/>
      <c r="AA7" s="26"/>
      <c r="AB7" s="31"/>
      <c r="AC7" s="26"/>
      <c r="AD7" s="25"/>
      <c r="AE7" s="26"/>
      <c r="AF7" s="26"/>
      <c r="AG7" s="25"/>
      <c r="AH7" s="29"/>
      <c r="AI7" s="26"/>
      <c r="AJ7" s="170"/>
      <c r="AK7" s="49"/>
    </row>
    <row r="8" spans="1:43" ht="12" customHeight="1">
      <c r="A8" s="48"/>
      <c r="B8" s="35"/>
      <c r="C8" s="35"/>
      <c r="D8" s="38" t="s">
        <v>57</v>
      </c>
      <c r="E8" s="26"/>
      <c r="F8" s="26"/>
      <c r="G8" s="26"/>
      <c r="H8" s="26"/>
      <c r="I8" s="26"/>
      <c r="J8" s="26"/>
      <c r="K8" s="26"/>
      <c r="L8" s="26"/>
      <c r="M8" s="26"/>
      <c r="N8" s="26"/>
      <c r="O8" s="26"/>
      <c r="P8" s="26"/>
      <c r="Q8" s="26"/>
      <c r="R8" s="26"/>
      <c r="S8" s="26"/>
      <c r="T8" s="26"/>
      <c r="U8" s="26"/>
      <c r="V8" s="26"/>
      <c r="W8" s="26"/>
      <c r="X8" s="26"/>
      <c r="Y8" s="26"/>
      <c r="Z8" s="26"/>
      <c r="AA8" s="26"/>
      <c r="AJ8" s="45"/>
      <c r="AK8" s="49"/>
    </row>
    <row r="9" spans="1:43" ht="6" customHeight="1" thickBot="1">
      <c r="A9" s="48"/>
      <c r="B9" s="26"/>
      <c r="C9" s="26"/>
      <c r="D9" s="62"/>
      <c r="E9" s="62"/>
      <c r="F9" s="62"/>
      <c r="G9" s="62"/>
      <c r="H9" s="62"/>
      <c r="I9" s="62"/>
      <c r="J9" s="62"/>
      <c r="K9" s="62"/>
      <c r="L9" s="62"/>
      <c r="M9" s="62"/>
      <c r="N9" s="62"/>
      <c r="O9" s="62"/>
      <c r="P9" s="62"/>
      <c r="Q9" s="62"/>
      <c r="R9" s="62"/>
      <c r="S9" s="62"/>
      <c r="T9" s="62"/>
      <c r="U9" s="62"/>
      <c r="V9" s="62"/>
      <c r="W9" s="62"/>
      <c r="X9" s="62"/>
      <c r="Y9" s="62"/>
      <c r="Z9" s="26"/>
      <c r="AA9" s="26"/>
      <c r="AB9" s="26"/>
      <c r="AC9" s="26"/>
      <c r="AD9" s="26"/>
      <c r="AE9" s="31"/>
      <c r="AF9" s="26"/>
      <c r="AG9" s="26"/>
      <c r="AH9" s="26"/>
      <c r="AI9" s="26"/>
      <c r="AJ9" s="170"/>
      <c r="AK9" s="49"/>
    </row>
    <row r="10" spans="1:43" ht="15" customHeight="1" thickTop="1" thickBot="1">
      <c r="A10" s="48"/>
      <c r="B10" s="26"/>
      <c r="C10" s="63"/>
      <c r="D10" s="64"/>
      <c r="E10" s="64"/>
      <c r="F10" s="64"/>
      <c r="G10" s="64"/>
      <c r="H10" s="64"/>
      <c r="I10" s="64"/>
      <c r="J10" s="78"/>
      <c r="K10" s="79"/>
      <c r="L10" s="78"/>
      <c r="M10" s="78"/>
      <c r="N10" s="78"/>
      <c r="O10" s="78"/>
      <c r="P10" s="78"/>
      <c r="Q10" s="78"/>
      <c r="R10" s="78"/>
      <c r="S10" s="78"/>
      <c r="T10" s="76"/>
      <c r="U10" s="75"/>
      <c r="V10" s="620" t="s">
        <v>58</v>
      </c>
      <c r="W10" s="621"/>
      <c r="X10" s="621"/>
      <c r="Y10" s="621"/>
      <c r="Z10" s="621"/>
      <c r="AA10" s="621"/>
      <c r="AB10" s="621"/>
      <c r="AC10" s="622"/>
      <c r="AD10" s="63"/>
      <c r="AE10" s="65"/>
      <c r="AF10" s="63"/>
      <c r="AG10" s="63"/>
      <c r="AH10" s="63"/>
      <c r="AI10" s="63"/>
      <c r="AJ10" s="170"/>
      <c r="AK10" s="49"/>
    </row>
    <row r="11" spans="1:43" ht="9.9499999999999993" customHeight="1" thickTop="1">
      <c r="A11" s="48"/>
      <c r="B11" s="26"/>
      <c r="C11" s="63"/>
      <c r="D11" s="66"/>
      <c r="E11" s="63"/>
      <c r="F11" s="63"/>
      <c r="G11" s="63"/>
      <c r="H11" s="63"/>
      <c r="I11" s="63"/>
      <c r="J11" s="80"/>
      <c r="K11" s="80"/>
      <c r="L11" s="80"/>
      <c r="M11" s="80"/>
      <c r="N11" s="80"/>
      <c r="O11" s="80"/>
      <c r="P11" s="80"/>
      <c r="Q11" s="80"/>
      <c r="R11" s="80"/>
      <c r="S11" s="81"/>
      <c r="T11" s="81"/>
      <c r="U11" s="77"/>
      <c r="V11" s="638"/>
      <c r="W11" s="639"/>
      <c r="X11" s="639"/>
      <c r="Y11" s="639"/>
      <c r="Z11" s="639"/>
      <c r="AA11" s="639"/>
      <c r="AB11" s="639"/>
      <c r="AC11" s="648"/>
      <c r="AD11" s="63"/>
      <c r="AE11" s="63"/>
      <c r="AF11" s="63"/>
      <c r="AG11" s="63"/>
      <c r="AH11" s="63"/>
      <c r="AI11" s="63"/>
      <c r="AJ11" s="170"/>
      <c r="AK11" s="49"/>
    </row>
    <row r="12" spans="1:43" ht="9.9499999999999993" customHeight="1" thickBot="1">
      <c r="A12" s="48"/>
      <c r="B12" s="26"/>
      <c r="C12" s="70"/>
      <c r="D12" s="70"/>
      <c r="E12" s="70"/>
      <c r="F12" s="70"/>
      <c r="G12" s="70"/>
      <c r="H12" s="70"/>
      <c r="I12" s="70"/>
      <c r="J12" s="82"/>
      <c r="K12" s="82"/>
      <c r="L12" s="82"/>
      <c r="M12" s="82"/>
      <c r="N12" s="82"/>
      <c r="O12" s="82"/>
      <c r="P12" s="82"/>
      <c r="Q12" s="82"/>
      <c r="R12" s="82"/>
      <c r="S12" s="81"/>
      <c r="T12" s="82"/>
      <c r="U12" s="82"/>
      <c r="V12" s="640"/>
      <c r="W12" s="641"/>
      <c r="X12" s="641"/>
      <c r="Y12" s="641"/>
      <c r="Z12" s="641"/>
      <c r="AA12" s="641"/>
      <c r="AB12" s="641"/>
      <c r="AC12" s="649"/>
      <c r="AD12" s="70"/>
      <c r="AE12" s="63"/>
      <c r="AF12" s="63"/>
      <c r="AG12" s="63"/>
      <c r="AH12" s="63"/>
      <c r="AI12" s="63"/>
      <c r="AJ12" s="170"/>
      <c r="AK12" s="49"/>
    </row>
    <row r="13" spans="1:43" ht="15" customHeight="1" thickTop="1" thickBot="1">
      <c r="A13" s="48"/>
      <c r="B13" s="26"/>
      <c r="C13" s="63"/>
      <c r="D13" s="71"/>
      <c r="E13" s="71"/>
      <c r="F13" s="71"/>
      <c r="G13" s="71"/>
      <c r="H13" s="71"/>
      <c r="I13" s="623" t="s">
        <v>59</v>
      </c>
      <c r="J13" s="624"/>
      <c r="K13" s="624"/>
      <c r="L13" s="624"/>
      <c r="M13" s="624"/>
      <c r="N13" s="624"/>
      <c r="O13" s="624"/>
      <c r="P13" s="624"/>
      <c r="Q13" s="624"/>
      <c r="R13" s="624"/>
      <c r="S13" s="624"/>
      <c r="T13" s="624"/>
      <c r="U13" s="625"/>
      <c r="V13" s="642"/>
      <c r="W13" s="643"/>
      <c r="X13" s="643"/>
      <c r="Y13" s="643"/>
      <c r="Z13" s="643"/>
      <c r="AA13" s="643"/>
      <c r="AB13" s="643"/>
      <c r="AC13" s="650"/>
      <c r="AD13" s="63"/>
      <c r="AE13" s="63"/>
      <c r="AF13" s="63"/>
      <c r="AG13" s="63"/>
      <c r="AH13" s="63"/>
      <c r="AI13" s="63"/>
      <c r="AJ13" s="26"/>
      <c r="AK13" s="49"/>
      <c r="AQ13" s="292">
        <f>'Warrant 1'!AN18</f>
        <v>0</v>
      </c>
    </row>
    <row r="14" spans="1:43" ht="9.9499999999999993" customHeight="1">
      <c r="A14" s="48"/>
      <c r="B14" s="26"/>
      <c r="C14" s="63"/>
      <c r="D14" s="71"/>
      <c r="E14" s="71"/>
      <c r="F14" s="71"/>
      <c r="G14" s="71"/>
      <c r="H14" s="71"/>
      <c r="I14" s="626" t="s">
        <v>60</v>
      </c>
      <c r="J14" s="627"/>
      <c r="K14" s="627"/>
      <c r="L14" s="627"/>
      <c r="M14" s="627"/>
      <c r="N14" s="627"/>
      <c r="O14" s="627"/>
      <c r="P14" s="627"/>
      <c r="Q14" s="627"/>
      <c r="R14" s="627"/>
      <c r="S14" s="627"/>
      <c r="T14" s="627"/>
      <c r="U14" s="628"/>
      <c r="V14" s="644"/>
      <c r="W14" s="645"/>
      <c r="X14" s="645"/>
      <c r="Y14" s="645"/>
      <c r="Z14" s="645"/>
      <c r="AA14" s="645"/>
      <c r="AB14" s="645"/>
      <c r="AC14" s="657"/>
      <c r="AD14" s="63"/>
      <c r="AE14" s="63"/>
      <c r="AF14" s="63"/>
      <c r="AG14" s="63"/>
      <c r="AH14" s="63"/>
      <c r="AI14" s="63"/>
      <c r="AJ14" s="26"/>
      <c r="AK14" s="49"/>
    </row>
    <row r="15" spans="1:43" ht="9.9499999999999993" customHeight="1">
      <c r="A15" s="48"/>
      <c r="B15" s="26"/>
      <c r="C15" s="63"/>
      <c r="D15" s="71"/>
      <c r="E15" s="71"/>
      <c r="F15" s="71"/>
      <c r="G15" s="71"/>
      <c r="H15" s="71"/>
      <c r="I15" s="629"/>
      <c r="J15" s="630"/>
      <c r="K15" s="630"/>
      <c r="L15" s="630"/>
      <c r="M15" s="630"/>
      <c r="N15" s="630"/>
      <c r="O15" s="630"/>
      <c r="P15" s="630"/>
      <c r="Q15" s="630"/>
      <c r="R15" s="630"/>
      <c r="S15" s="630"/>
      <c r="T15" s="630"/>
      <c r="U15" s="631"/>
      <c r="V15" s="646"/>
      <c r="W15" s="647"/>
      <c r="X15" s="647"/>
      <c r="Y15" s="647"/>
      <c r="Z15" s="647"/>
      <c r="AA15" s="647"/>
      <c r="AB15" s="647"/>
      <c r="AC15" s="658"/>
      <c r="AD15" s="63"/>
      <c r="AE15" s="63"/>
      <c r="AF15" s="63"/>
      <c r="AG15" s="63"/>
      <c r="AH15" s="63"/>
      <c r="AI15" s="63"/>
      <c r="AJ15" s="26"/>
      <c r="AK15" s="49"/>
    </row>
    <row r="16" spans="1:43" ht="9.9499999999999993" customHeight="1">
      <c r="A16" s="48"/>
      <c r="B16" s="26"/>
      <c r="C16" s="63"/>
      <c r="D16" s="66"/>
      <c r="E16" s="63"/>
      <c r="F16" s="63"/>
      <c r="G16" s="63"/>
      <c r="H16" s="63"/>
      <c r="I16" s="632" t="s">
        <v>61</v>
      </c>
      <c r="J16" s="633"/>
      <c r="K16" s="633"/>
      <c r="L16" s="633"/>
      <c r="M16" s="633"/>
      <c r="N16" s="633"/>
      <c r="O16" s="633"/>
      <c r="P16" s="633"/>
      <c r="Q16" s="633"/>
      <c r="R16" s="633"/>
      <c r="S16" s="633"/>
      <c r="T16" s="633"/>
      <c r="U16" s="634"/>
      <c r="V16" s="651"/>
      <c r="W16" s="652"/>
      <c r="X16" s="652"/>
      <c r="Y16" s="652"/>
      <c r="Z16" s="652"/>
      <c r="AA16" s="652"/>
      <c r="AB16" s="652"/>
      <c r="AC16" s="655"/>
      <c r="AD16" s="63"/>
      <c r="AE16" s="63"/>
      <c r="AF16" s="63"/>
      <c r="AG16" s="63"/>
      <c r="AH16" s="63"/>
      <c r="AI16" s="63"/>
      <c r="AJ16" s="26"/>
      <c r="AK16" s="49"/>
    </row>
    <row r="17" spans="1:72" ht="9.9499999999999993" customHeight="1" thickBot="1">
      <c r="A17" s="48"/>
      <c r="B17" s="26"/>
      <c r="C17" s="63"/>
      <c r="D17" s="68"/>
      <c r="E17" s="68"/>
      <c r="F17" s="68"/>
      <c r="G17" s="68"/>
      <c r="H17" s="68"/>
      <c r="I17" s="635"/>
      <c r="J17" s="636"/>
      <c r="K17" s="636"/>
      <c r="L17" s="636"/>
      <c r="M17" s="636"/>
      <c r="N17" s="636"/>
      <c r="O17" s="636"/>
      <c r="P17" s="636"/>
      <c r="Q17" s="636"/>
      <c r="R17" s="636"/>
      <c r="S17" s="636"/>
      <c r="T17" s="636"/>
      <c r="U17" s="637"/>
      <c r="V17" s="653"/>
      <c r="W17" s="654"/>
      <c r="X17" s="654"/>
      <c r="Y17" s="654"/>
      <c r="Z17" s="654"/>
      <c r="AA17" s="654"/>
      <c r="AB17" s="654"/>
      <c r="AC17" s="656"/>
      <c r="AD17" s="68"/>
      <c r="AE17" s="68"/>
      <c r="AF17" s="68"/>
      <c r="AG17" s="68"/>
      <c r="AH17" s="68"/>
      <c r="AI17" s="63"/>
      <c r="AJ17" s="26"/>
      <c r="AK17" s="49"/>
    </row>
    <row r="18" spans="1:72" ht="6" customHeight="1" thickTop="1" thickBot="1">
      <c r="A18" s="48"/>
      <c r="B18" s="26"/>
      <c r="C18" s="63"/>
      <c r="D18" s="66"/>
      <c r="E18" s="63"/>
      <c r="F18" s="63"/>
      <c r="G18" s="63"/>
      <c r="H18" s="63"/>
      <c r="I18" s="63"/>
      <c r="J18" s="63"/>
      <c r="K18" s="63"/>
      <c r="L18" s="63"/>
      <c r="M18" s="63"/>
      <c r="N18" s="63"/>
      <c r="O18" s="63"/>
      <c r="P18" s="63"/>
      <c r="Q18" s="63"/>
      <c r="R18" s="68"/>
      <c r="S18" s="68"/>
      <c r="T18" s="68"/>
      <c r="U18" s="68"/>
      <c r="V18" s="68"/>
      <c r="W18" s="63"/>
      <c r="X18" s="72"/>
      <c r="Y18" s="72"/>
      <c r="Z18" s="72"/>
      <c r="AA18" s="72"/>
      <c r="AB18" s="72"/>
      <c r="AC18" s="63"/>
      <c r="AD18" s="69"/>
      <c r="AE18" s="67"/>
      <c r="AF18" s="67"/>
      <c r="AG18" s="69"/>
      <c r="AH18" s="67"/>
      <c r="AI18" s="63"/>
      <c r="AJ18" s="26"/>
      <c r="AK18" s="49"/>
    </row>
    <row r="19" spans="1:72" ht="9.9499999999999993" customHeight="1">
      <c r="A19" s="48"/>
      <c r="C19" s="611" t="s">
        <v>79</v>
      </c>
      <c r="D19" s="612"/>
      <c r="E19" s="612"/>
      <c r="F19" s="612"/>
      <c r="G19" s="612"/>
      <c r="H19" s="612"/>
      <c r="I19" s="612"/>
      <c r="J19" s="612"/>
      <c r="K19" s="612"/>
      <c r="L19" s="612"/>
      <c r="M19" s="612"/>
      <c r="N19" s="612"/>
      <c r="O19" s="612"/>
      <c r="P19" s="612"/>
      <c r="Q19" s="612"/>
      <c r="R19" s="612"/>
      <c r="S19" s="612"/>
      <c r="T19" s="612"/>
      <c r="U19" s="612"/>
      <c r="V19" s="612"/>
      <c r="W19" s="612"/>
      <c r="X19" s="612"/>
      <c r="Y19" s="612"/>
      <c r="Z19" s="612"/>
      <c r="AA19" s="612"/>
      <c r="AB19" s="612"/>
      <c r="AC19" s="612"/>
      <c r="AD19" s="612"/>
      <c r="AE19" s="612"/>
      <c r="AF19" s="612"/>
      <c r="AG19" s="612"/>
      <c r="AH19" s="612"/>
      <c r="AI19" s="613"/>
      <c r="AJ19" s="192"/>
      <c r="AK19" s="49"/>
    </row>
    <row r="20" spans="1:72" ht="12" customHeight="1">
      <c r="A20" s="48"/>
      <c r="B20" s="192"/>
      <c r="C20" s="614"/>
      <c r="D20" s="615"/>
      <c r="E20" s="615"/>
      <c r="F20" s="615"/>
      <c r="G20" s="615"/>
      <c r="H20" s="615"/>
      <c r="I20" s="615"/>
      <c r="J20" s="615"/>
      <c r="K20" s="615"/>
      <c r="L20" s="615"/>
      <c r="M20" s="615"/>
      <c r="N20" s="615"/>
      <c r="O20" s="615"/>
      <c r="P20" s="615"/>
      <c r="Q20" s="615"/>
      <c r="R20" s="615"/>
      <c r="S20" s="615"/>
      <c r="T20" s="615"/>
      <c r="U20" s="615"/>
      <c r="V20" s="615"/>
      <c r="W20" s="615"/>
      <c r="X20" s="615"/>
      <c r="Y20" s="615"/>
      <c r="Z20" s="615"/>
      <c r="AA20" s="615"/>
      <c r="AB20" s="615"/>
      <c r="AC20" s="615"/>
      <c r="AD20" s="615"/>
      <c r="AE20" s="615"/>
      <c r="AF20" s="615"/>
      <c r="AG20" s="615"/>
      <c r="AH20" s="615"/>
      <c r="AI20" s="616"/>
      <c r="AJ20" s="192"/>
      <c r="AK20" s="49"/>
    </row>
    <row r="21" spans="1:72" ht="12" customHeight="1">
      <c r="A21" s="48"/>
      <c r="C21" s="617"/>
      <c r="D21" s="618"/>
      <c r="E21" s="618"/>
      <c r="F21" s="618"/>
      <c r="G21" s="618"/>
      <c r="H21" s="618"/>
      <c r="I21" s="618"/>
      <c r="J21" s="618"/>
      <c r="K21" s="618"/>
      <c r="L21" s="618"/>
      <c r="M21" s="618"/>
      <c r="N21" s="618"/>
      <c r="O21" s="618"/>
      <c r="P21" s="618"/>
      <c r="Q21" s="618"/>
      <c r="R21" s="618"/>
      <c r="S21" s="618"/>
      <c r="T21" s="618"/>
      <c r="U21" s="618"/>
      <c r="V21" s="618"/>
      <c r="W21" s="618"/>
      <c r="X21" s="618"/>
      <c r="Y21" s="618"/>
      <c r="Z21" s="618"/>
      <c r="AA21" s="618"/>
      <c r="AB21" s="618"/>
      <c r="AC21" s="618"/>
      <c r="AD21" s="618"/>
      <c r="AE21" s="618"/>
      <c r="AF21" s="618"/>
      <c r="AG21" s="618"/>
      <c r="AH21" s="618"/>
      <c r="AI21" s="619"/>
      <c r="AJ21" s="193"/>
      <c r="AK21" s="49"/>
    </row>
    <row r="22" spans="1:72" ht="12" customHeight="1">
      <c r="A22" s="48"/>
      <c r="B22" s="139"/>
      <c r="C22" s="194"/>
      <c r="D22" s="177"/>
      <c r="E22" s="177"/>
      <c r="F22" s="177"/>
      <c r="G22" s="177"/>
      <c r="H22" s="177"/>
      <c r="I22" s="177"/>
      <c r="J22" s="177"/>
      <c r="K22" s="177"/>
      <c r="L22" s="177"/>
      <c r="M22" s="177"/>
      <c r="N22" s="177"/>
      <c r="O22" s="177"/>
      <c r="P22" s="177"/>
      <c r="Q22" s="177"/>
      <c r="R22" s="177"/>
      <c r="S22" s="177"/>
      <c r="T22" s="177"/>
      <c r="U22" s="177"/>
      <c r="V22" s="177"/>
      <c r="W22" s="177"/>
      <c r="X22" s="177"/>
      <c r="Y22" s="177"/>
      <c r="Z22" s="177"/>
      <c r="AA22" s="177"/>
      <c r="AB22" s="177"/>
      <c r="AC22" s="177"/>
      <c r="AD22" s="177"/>
      <c r="AE22" s="177"/>
      <c r="AF22" s="177"/>
      <c r="AG22" s="177"/>
      <c r="AH22" s="177"/>
      <c r="AI22" s="195"/>
      <c r="AJ22" s="139"/>
      <c r="AK22" s="49"/>
    </row>
    <row r="23" spans="1:72" ht="12" customHeight="1">
      <c r="A23" s="48"/>
      <c r="B23" s="26"/>
      <c r="C23" s="196"/>
      <c r="D23" s="83"/>
      <c r="E23" s="84"/>
      <c r="F23" s="84"/>
      <c r="G23" s="84"/>
      <c r="H23" s="84"/>
      <c r="I23" s="84"/>
      <c r="J23" s="84"/>
      <c r="K23" s="84"/>
      <c r="L23" s="84"/>
      <c r="M23" s="84"/>
      <c r="N23" s="84"/>
      <c r="O23" s="84"/>
      <c r="P23" s="84"/>
      <c r="Q23" s="84"/>
      <c r="R23" s="84"/>
      <c r="S23" s="84"/>
      <c r="T23" s="84"/>
      <c r="U23" s="84"/>
      <c r="V23" s="84"/>
      <c r="W23" s="84"/>
      <c r="X23" s="84"/>
      <c r="Y23" s="84"/>
      <c r="Z23" s="84"/>
      <c r="AA23" s="84"/>
      <c r="AB23" s="84"/>
      <c r="AC23" s="84"/>
      <c r="AD23" s="84"/>
      <c r="AE23" s="84"/>
      <c r="AF23" s="84"/>
      <c r="AG23" s="84"/>
      <c r="AH23" s="84"/>
      <c r="AI23" s="197"/>
      <c r="AJ23" s="26"/>
      <c r="AK23" s="49"/>
      <c r="AO23" s="121"/>
      <c r="AP23" s="121"/>
      <c r="AW23" s="27"/>
      <c r="AX23" s="27"/>
      <c r="AY23" s="27"/>
      <c r="AZ23" s="27"/>
      <c r="BA23" s="27"/>
      <c r="BB23" s="27"/>
      <c r="BC23" s="27"/>
      <c r="BD23" s="27"/>
      <c r="BE23" s="27"/>
      <c r="BF23" s="27"/>
      <c r="BG23" s="27"/>
      <c r="BH23" s="27"/>
      <c r="BI23" s="27"/>
      <c r="BJ23" s="27"/>
      <c r="BK23" s="27"/>
      <c r="BL23" s="27"/>
      <c r="BM23" s="27"/>
      <c r="BN23" s="27"/>
      <c r="BO23" s="27"/>
      <c r="BP23" s="27"/>
      <c r="BQ23" s="27"/>
      <c r="BR23" s="27"/>
      <c r="BS23" s="27"/>
      <c r="BT23" s="27"/>
    </row>
    <row r="24" spans="1:72" ht="12" customHeight="1">
      <c r="A24" s="48"/>
      <c r="B24" s="26"/>
      <c r="C24" s="196"/>
      <c r="D24" s="83"/>
      <c r="E24" s="84"/>
      <c r="F24" s="84"/>
      <c r="G24" s="84"/>
      <c r="H24" s="84"/>
      <c r="I24" s="84"/>
      <c r="J24" s="84"/>
      <c r="K24" s="84"/>
      <c r="L24" s="84"/>
      <c r="M24" s="84"/>
      <c r="N24" s="84"/>
      <c r="O24" s="84"/>
      <c r="P24" s="84"/>
      <c r="Q24" s="84"/>
      <c r="R24" s="84"/>
      <c r="S24" s="84"/>
      <c r="T24" s="85"/>
      <c r="U24" s="85"/>
      <c r="V24" s="85"/>
      <c r="W24" s="85"/>
      <c r="X24" s="85"/>
      <c r="Y24" s="85"/>
      <c r="Z24" s="85"/>
      <c r="AA24" s="85"/>
      <c r="AB24" s="85"/>
      <c r="AC24" s="85"/>
      <c r="AD24" s="85"/>
      <c r="AE24" s="85"/>
      <c r="AF24" s="85"/>
      <c r="AG24" s="85"/>
      <c r="AH24" s="85"/>
      <c r="AI24" s="198"/>
      <c r="AJ24" s="26"/>
      <c r="AK24" s="49"/>
      <c r="AW24" s="27"/>
      <c r="AX24" s="27"/>
      <c r="AY24" s="27"/>
      <c r="AZ24" s="27"/>
      <c r="BA24" s="27"/>
      <c r="BB24" s="27"/>
      <c r="BC24" s="27"/>
      <c r="BD24" s="27"/>
      <c r="BE24" s="53"/>
      <c r="BF24" s="53"/>
      <c r="BG24" s="53"/>
      <c r="BH24" s="53"/>
      <c r="BI24" s="53"/>
      <c r="BJ24" s="53"/>
      <c r="BK24" s="53"/>
      <c r="BL24" s="53"/>
      <c r="BM24" s="53"/>
      <c r="BN24" s="53"/>
      <c r="BO24" s="53"/>
      <c r="BP24" s="53"/>
      <c r="BQ24" s="53"/>
      <c r="BR24" s="53"/>
      <c r="BS24" s="53"/>
      <c r="BT24" s="53"/>
    </row>
    <row r="25" spans="1:72" ht="12" customHeight="1">
      <c r="A25" s="48"/>
      <c r="B25" s="26"/>
      <c r="C25" s="196"/>
      <c r="D25" s="83"/>
      <c r="E25" s="84"/>
      <c r="F25" s="84"/>
      <c r="G25" s="84"/>
      <c r="H25" s="84"/>
      <c r="I25" s="84"/>
      <c r="J25" s="84"/>
      <c r="K25" s="84"/>
      <c r="L25" s="86"/>
      <c r="M25" s="86"/>
      <c r="N25" s="86"/>
      <c r="O25" s="86"/>
      <c r="P25" s="84"/>
      <c r="Q25" s="84"/>
      <c r="R25" s="84"/>
      <c r="S25" s="84"/>
      <c r="T25" s="85"/>
      <c r="U25" s="85"/>
      <c r="V25" s="85"/>
      <c r="W25" s="85"/>
      <c r="X25" s="85"/>
      <c r="Y25" s="85"/>
      <c r="Z25" s="85"/>
      <c r="AA25" s="85"/>
      <c r="AB25" s="85"/>
      <c r="AC25" s="85"/>
      <c r="AD25" s="85"/>
      <c r="AE25" s="85"/>
      <c r="AF25" s="85"/>
      <c r="AG25" s="85"/>
      <c r="AH25" s="85"/>
      <c r="AI25" s="198"/>
      <c r="AJ25" s="26"/>
      <c r="AK25" s="49"/>
      <c r="AW25" s="54"/>
      <c r="AX25" s="54"/>
      <c r="AY25" s="54"/>
      <c r="AZ25" s="54"/>
      <c r="BA25" s="27"/>
      <c r="BB25" s="27"/>
      <c r="BC25" s="27"/>
      <c r="BD25" s="27"/>
      <c r="BE25" s="53"/>
      <c r="BF25" s="53"/>
      <c r="BG25" s="53"/>
      <c r="BH25" s="53"/>
      <c r="BI25" s="53"/>
      <c r="BJ25" s="53"/>
      <c r="BK25" s="53"/>
      <c r="BL25" s="53"/>
      <c r="BM25" s="53"/>
      <c r="BN25" s="53"/>
      <c r="BO25" s="53"/>
      <c r="BP25" s="53"/>
      <c r="BQ25" s="53"/>
      <c r="BR25" s="53"/>
      <c r="BS25" s="53"/>
      <c r="BT25" s="53"/>
    </row>
    <row r="26" spans="1:72" ht="12" customHeight="1">
      <c r="A26" s="48"/>
      <c r="B26" s="26"/>
      <c r="C26" s="196"/>
      <c r="D26" s="83"/>
      <c r="E26" s="84"/>
      <c r="F26" s="84"/>
      <c r="G26" s="84"/>
      <c r="H26" s="84"/>
      <c r="I26" s="84"/>
      <c r="J26" s="84"/>
      <c r="K26" s="84"/>
      <c r="L26" s="87"/>
      <c r="M26" s="87"/>
      <c r="N26" s="87"/>
      <c r="O26" s="87"/>
      <c r="P26" s="87"/>
      <c r="Q26" s="87"/>
      <c r="R26" s="87"/>
      <c r="S26" s="87"/>
      <c r="T26" s="85"/>
      <c r="U26" s="85"/>
      <c r="V26" s="85"/>
      <c r="W26" s="85"/>
      <c r="X26" s="85"/>
      <c r="Y26" s="85"/>
      <c r="Z26" s="85"/>
      <c r="AA26" s="85"/>
      <c r="AB26" s="85"/>
      <c r="AC26" s="85"/>
      <c r="AD26" s="85"/>
      <c r="AE26" s="85"/>
      <c r="AF26" s="85"/>
      <c r="AG26" s="85"/>
      <c r="AH26" s="85"/>
      <c r="AI26" s="198"/>
      <c r="AJ26" s="26"/>
      <c r="AK26" s="49"/>
      <c r="AW26" s="55"/>
      <c r="AX26" s="55"/>
      <c r="AY26" s="55"/>
      <c r="AZ26" s="55"/>
      <c r="BA26" s="55"/>
      <c r="BB26" s="55"/>
      <c r="BC26" s="55"/>
      <c r="BD26" s="55"/>
      <c r="BE26" s="53"/>
      <c r="BF26" s="53"/>
      <c r="BG26" s="53"/>
      <c r="BH26" s="53"/>
      <c r="BI26" s="53"/>
      <c r="BJ26" s="53"/>
      <c r="BK26" s="53"/>
      <c r="BL26" s="53"/>
      <c r="BM26" s="53"/>
      <c r="BN26" s="53"/>
      <c r="BO26" s="53"/>
      <c r="BP26" s="53"/>
      <c r="BQ26" s="53"/>
      <c r="BR26" s="53"/>
      <c r="BS26" s="53"/>
      <c r="BT26" s="53"/>
    </row>
    <row r="27" spans="1:72" ht="12" customHeight="1">
      <c r="A27" s="48"/>
      <c r="B27" s="26"/>
      <c r="C27" s="199"/>
      <c r="D27" s="88"/>
      <c r="E27" s="89"/>
      <c r="F27" s="89"/>
      <c r="G27" s="89"/>
      <c r="H27" s="89"/>
      <c r="I27" s="89"/>
      <c r="J27" s="89"/>
      <c r="K27" s="89"/>
      <c r="L27" s="90"/>
      <c r="M27" s="90"/>
      <c r="N27" s="90"/>
      <c r="O27" s="90"/>
      <c r="P27" s="90"/>
      <c r="Q27" s="90"/>
      <c r="R27" s="90"/>
      <c r="S27" s="90"/>
      <c r="T27" s="91"/>
      <c r="U27" s="91"/>
      <c r="V27" s="91"/>
      <c r="W27" s="91"/>
      <c r="X27" s="91"/>
      <c r="Y27" s="91"/>
      <c r="Z27" s="91"/>
      <c r="AA27" s="91"/>
      <c r="AB27" s="91"/>
      <c r="AC27" s="91"/>
      <c r="AD27" s="91"/>
      <c r="AE27" s="91"/>
      <c r="AF27" s="91"/>
      <c r="AG27" s="91"/>
      <c r="AH27" s="91"/>
      <c r="AI27" s="200"/>
      <c r="AJ27" s="26"/>
      <c r="AK27" s="49"/>
      <c r="AN27" s="73"/>
      <c r="AO27" s="74"/>
      <c r="AP27" s="56"/>
      <c r="AW27" s="58"/>
      <c r="AX27" s="58"/>
      <c r="AY27" s="58"/>
      <c r="AZ27" s="58"/>
      <c r="BA27" s="58"/>
      <c r="BB27" s="58"/>
      <c r="BC27" s="58"/>
      <c r="BD27" s="58"/>
      <c r="BE27" s="57"/>
      <c r="BF27" s="57"/>
      <c r="BG27" s="57"/>
      <c r="BH27" s="57"/>
      <c r="BI27" s="57"/>
      <c r="BJ27" s="57"/>
      <c r="BK27" s="57"/>
      <c r="BL27" s="57"/>
      <c r="BM27" s="57"/>
      <c r="BN27" s="57"/>
      <c r="BO27" s="57"/>
      <c r="BP27" s="57"/>
      <c r="BQ27" s="57"/>
      <c r="BR27" s="57"/>
      <c r="BS27" s="57"/>
      <c r="BT27" s="57"/>
    </row>
    <row r="28" spans="1:72" ht="12" customHeight="1">
      <c r="A28" s="48"/>
      <c r="B28" s="26"/>
      <c r="C28" s="199"/>
      <c r="D28" s="88"/>
      <c r="E28" s="89"/>
      <c r="F28" s="89"/>
      <c r="G28" s="89"/>
      <c r="H28" s="89"/>
      <c r="I28" s="89"/>
      <c r="J28" s="89"/>
      <c r="K28" s="89"/>
      <c r="L28" s="90"/>
      <c r="M28" s="90"/>
      <c r="N28" s="90"/>
      <c r="O28" s="90"/>
      <c r="P28" s="90"/>
      <c r="Q28" s="90"/>
      <c r="R28" s="90"/>
      <c r="S28" s="90"/>
      <c r="T28" s="91"/>
      <c r="U28" s="91"/>
      <c r="V28" s="91"/>
      <c r="W28" s="91"/>
      <c r="X28" s="91"/>
      <c r="Y28" s="91"/>
      <c r="Z28" s="91"/>
      <c r="AA28" s="91"/>
      <c r="AB28" s="91"/>
      <c r="AC28" s="91"/>
      <c r="AD28" s="91"/>
      <c r="AE28" s="91"/>
      <c r="AF28" s="91"/>
      <c r="AG28" s="91"/>
      <c r="AH28" s="91"/>
      <c r="AI28" s="200"/>
      <c r="AJ28" s="26"/>
      <c r="AK28" s="49"/>
      <c r="AO28" s="129"/>
      <c r="AP28" s="129"/>
      <c r="AW28" s="59"/>
      <c r="AX28" s="59"/>
      <c r="AY28" s="59"/>
      <c r="AZ28" s="59"/>
      <c r="BA28" s="59"/>
      <c r="BB28" s="59"/>
      <c r="BC28" s="59"/>
      <c r="BD28" s="59"/>
      <c r="BE28" s="57"/>
      <c r="BF28" s="57"/>
      <c r="BG28" s="57"/>
      <c r="BH28" s="57"/>
      <c r="BI28" s="57"/>
      <c r="BJ28" s="57"/>
      <c r="BK28" s="57"/>
      <c r="BL28" s="57"/>
      <c r="BM28" s="57"/>
      <c r="BN28" s="57"/>
      <c r="BO28" s="57"/>
      <c r="BP28" s="57"/>
      <c r="BQ28" s="57"/>
      <c r="BR28" s="57"/>
      <c r="BS28" s="57"/>
      <c r="BT28" s="57"/>
    </row>
    <row r="29" spans="1:72" ht="12" customHeight="1">
      <c r="A29" s="48"/>
      <c r="B29" s="26"/>
      <c r="C29" s="199"/>
      <c r="D29" s="88"/>
      <c r="E29" s="89"/>
      <c r="F29" s="89"/>
      <c r="G29" s="89"/>
      <c r="H29" s="89"/>
      <c r="I29" s="89"/>
      <c r="J29" s="89"/>
      <c r="K29" s="89"/>
      <c r="L29" s="90"/>
      <c r="M29" s="90"/>
      <c r="N29" s="90"/>
      <c r="O29" s="90"/>
      <c r="P29" s="90"/>
      <c r="Q29" s="90"/>
      <c r="R29" s="90"/>
      <c r="S29" s="90"/>
      <c r="T29" s="91"/>
      <c r="U29" s="91"/>
      <c r="V29" s="91"/>
      <c r="W29" s="91"/>
      <c r="X29" s="91"/>
      <c r="Y29" s="91"/>
      <c r="Z29" s="91"/>
      <c r="AA29" s="91"/>
      <c r="AB29" s="91"/>
      <c r="AC29" s="91"/>
      <c r="AD29" s="91"/>
      <c r="AE29" s="91"/>
      <c r="AF29" s="91"/>
      <c r="AG29" s="91"/>
      <c r="AH29" s="91"/>
      <c r="AI29" s="200"/>
      <c r="AJ29" s="26"/>
      <c r="AK29" s="49"/>
      <c r="AO29" s="130"/>
      <c r="AP29" s="130"/>
      <c r="AQ29" s="45"/>
      <c r="AW29" s="58"/>
      <c r="AX29" s="58"/>
      <c r="AY29" s="58"/>
      <c r="AZ29" s="58"/>
      <c r="BA29" s="58"/>
      <c r="BB29" s="58"/>
      <c r="BC29" s="58"/>
      <c r="BD29" s="58"/>
      <c r="BE29" s="57"/>
      <c r="BF29" s="57"/>
      <c r="BG29" s="57"/>
      <c r="BH29" s="57"/>
      <c r="BI29" s="57"/>
      <c r="BJ29" s="57"/>
      <c r="BK29" s="57"/>
      <c r="BL29" s="57"/>
      <c r="BM29" s="57"/>
      <c r="BN29" s="57"/>
      <c r="BO29" s="57"/>
      <c r="BP29" s="57"/>
      <c r="BQ29" s="57"/>
      <c r="BR29" s="57"/>
      <c r="BS29" s="57"/>
      <c r="BT29" s="57"/>
    </row>
    <row r="30" spans="1:72" ht="12" customHeight="1">
      <c r="A30" s="48"/>
      <c r="B30" s="26"/>
      <c r="C30" s="199"/>
      <c r="D30" s="88"/>
      <c r="E30" s="89"/>
      <c r="F30" s="89"/>
      <c r="G30" s="89"/>
      <c r="H30" s="89"/>
      <c r="I30" s="89"/>
      <c r="J30" s="89"/>
      <c r="K30" s="89"/>
      <c r="L30" s="90"/>
      <c r="M30" s="90"/>
      <c r="N30" s="90"/>
      <c r="O30" s="90"/>
      <c r="P30" s="90"/>
      <c r="Q30" s="90"/>
      <c r="R30" s="90"/>
      <c r="S30" s="90"/>
      <c r="T30" s="91"/>
      <c r="U30" s="91"/>
      <c r="V30" s="91"/>
      <c r="W30" s="91"/>
      <c r="X30" s="91"/>
      <c r="Y30" s="91"/>
      <c r="Z30" s="91"/>
      <c r="AA30" s="91"/>
      <c r="AB30" s="91"/>
      <c r="AC30" s="91"/>
      <c r="AD30" s="91"/>
      <c r="AE30" s="91"/>
      <c r="AF30" s="91"/>
      <c r="AG30" s="91"/>
      <c r="AH30" s="91"/>
      <c r="AI30" s="200"/>
      <c r="AJ30" s="26"/>
      <c r="AK30" s="49"/>
      <c r="AO30" s="131"/>
      <c r="AP30" s="131"/>
      <c r="AQ30" s="45"/>
      <c r="AW30" s="60"/>
      <c r="AX30" s="60"/>
      <c r="AY30" s="60"/>
      <c r="AZ30" s="60"/>
      <c r="BA30" s="60"/>
      <c r="BB30" s="60"/>
      <c r="BC30" s="60"/>
      <c r="BD30" s="60"/>
      <c r="BE30" s="57"/>
      <c r="BF30" s="57"/>
      <c r="BG30" s="57"/>
      <c r="BH30" s="57"/>
      <c r="BI30" s="57"/>
      <c r="BJ30" s="57"/>
      <c r="BK30" s="57"/>
      <c r="BL30" s="57"/>
      <c r="BM30" s="57"/>
      <c r="BN30" s="57"/>
      <c r="BO30" s="57"/>
      <c r="BP30" s="57"/>
      <c r="BQ30" s="57"/>
      <c r="BR30" s="57"/>
      <c r="BS30" s="57"/>
      <c r="BT30" s="57"/>
    </row>
    <row r="31" spans="1:72" ht="12" customHeight="1">
      <c r="A31" s="48"/>
      <c r="B31" s="26"/>
      <c r="C31" s="196"/>
      <c r="D31" s="83"/>
      <c r="E31" s="84"/>
      <c r="F31" s="84"/>
      <c r="G31" s="84"/>
      <c r="H31" s="84"/>
      <c r="I31" s="84"/>
      <c r="J31" s="84"/>
      <c r="K31" s="84"/>
      <c r="L31" s="84"/>
      <c r="M31" s="84"/>
      <c r="N31" s="84"/>
      <c r="O31" s="84"/>
      <c r="P31" s="84"/>
      <c r="Q31" s="84"/>
      <c r="R31" s="84"/>
      <c r="S31" s="84"/>
      <c r="T31" s="85"/>
      <c r="U31" s="85"/>
      <c r="V31" s="85"/>
      <c r="W31" s="85"/>
      <c r="X31" s="85"/>
      <c r="Y31" s="85"/>
      <c r="Z31" s="85"/>
      <c r="AA31" s="85"/>
      <c r="AB31" s="85"/>
      <c r="AC31" s="85"/>
      <c r="AD31" s="85"/>
      <c r="AE31" s="85"/>
      <c r="AF31" s="85"/>
      <c r="AG31" s="85"/>
      <c r="AH31" s="85"/>
      <c r="AI31" s="198"/>
      <c r="AJ31" s="26"/>
      <c r="AK31" s="49"/>
      <c r="AO31" s="128"/>
      <c r="AP31" s="128"/>
      <c r="AQ31" s="45"/>
      <c r="AW31" s="44"/>
      <c r="AX31" s="44"/>
      <c r="AY31" s="44"/>
      <c r="AZ31" s="44"/>
      <c r="BA31" s="44"/>
      <c r="BB31" s="44"/>
      <c r="BC31" s="44"/>
      <c r="BD31" s="44"/>
      <c r="BE31" s="44"/>
      <c r="BF31" s="44"/>
      <c r="BG31" s="44"/>
      <c r="BH31" s="44"/>
      <c r="BI31" s="44"/>
      <c r="BJ31" s="44"/>
      <c r="BK31" s="44"/>
      <c r="BL31" s="44"/>
      <c r="BM31" s="44"/>
      <c r="BN31" s="44"/>
      <c r="BO31" s="44"/>
      <c r="BP31" s="44"/>
      <c r="BQ31" s="44"/>
      <c r="BR31" s="44"/>
      <c r="BS31" s="44"/>
      <c r="BT31" s="44"/>
    </row>
    <row r="32" spans="1:72" ht="12" customHeight="1">
      <c r="A32" s="48"/>
      <c r="B32" s="26"/>
      <c r="C32" s="196"/>
      <c r="D32" s="83"/>
      <c r="E32" s="84"/>
      <c r="F32" s="84"/>
      <c r="G32" s="84"/>
      <c r="H32" s="84"/>
      <c r="I32" s="84"/>
      <c r="J32" s="84"/>
      <c r="K32" s="84"/>
      <c r="L32" s="86"/>
      <c r="M32" s="86"/>
      <c r="N32" s="86"/>
      <c r="O32" s="86"/>
      <c r="P32" s="84"/>
      <c r="Q32" s="84"/>
      <c r="R32" s="84"/>
      <c r="S32" s="84"/>
      <c r="T32" s="85"/>
      <c r="U32" s="85"/>
      <c r="V32" s="85"/>
      <c r="W32" s="85"/>
      <c r="X32" s="85"/>
      <c r="Y32" s="85"/>
      <c r="Z32" s="85"/>
      <c r="AA32" s="85"/>
      <c r="AB32" s="85"/>
      <c r="AC32" s="85"/>
      <c r="AD32" s="85"/>
      <c r="AE32" s="85"/>
      <c r="AF32" s="85"/>
      <c r="AG32" s="85"/>
      <c r="AH32" s="85"/>
      <c r="AI32" s="198"/>
      <c r="AJ32" s="26"/>
      <c r="AK32" s="49"/>
      <c r="AN32" s="38"/>
      <c r="AP32" s="44"/>
      <c r="AW32" s="44"/>
      <c r="AX32" s="44"/>
      <c r="AY32" s="44"/>
      <c r="AZ32" s="44"/>
      <c r="BA32" s="44"/>
      <c r="BB32" s="44"/>
      <c r="BC32" s="44"/>
      <c r="BD32" s="44"/>
      <c r="BE32" s="44"/>
      <c r="BF32" s="44"/>
      <c r="BG32" s="44"/>
      <c r="BH32" s="44"/>
      <c r="BI32" s="44"/>
      <c r="BJ32" s="44"/>
      <c r="BK32" s="44"/>
      <c r="BL32" s="44"/>
      <c r="BM32" s="44"/>
      <c r="BN32" s="44"/>
      <c r="BO32" s="44"/>
      <c r="BP32" s="44"/>
      <c r="BQ32" s="44"/>
      <c r="BR32" s="44"/>
      <c r="BS32" s="44"/>
      <c r="BT32" s="44"/>
    </row>
    <row r="33" spans="1:44" ht="12" customHeight="1">
      <c r="A33" s="48"/>
      <c r="B33" s="26"/>
      <c r="C33" s="196"/>
      <c r="D33" s="83"/>
      <c r="E33" s="84"/>
      <c r="F33" s="84"/>
      <c r="G33" s="84"/>
      <c r="H33" s="84"/>
      <c r="I33" s="84"/>
      <c r="J33" s="84"/>
      <c r="K33" s="84"/>
      <c r="L33" s="87"/>
      <c r="M33" s="87"/>
      <c r="N33" s="87"/>
      <c r="O33" s="87"/>
      <c r="P33" s="87"/>
      <c r="Q33" s="87"/>
      <c r="R33" s="87"/>
      <c r="S33" s="87"/>
      <c r="T33" s="85"/>
      <c r="U33" s="85"/>
      <c r="V33" s="85"/>
      <c r="W33" s="85"/>
      <c r="X33" s="85"/>
      <c r="Y33" s="85"/>
      <c r="Z33" s="85"/>
      <c r="AA33" s="85"/>
      <c r="AB33" s="85"/>
      <c r="AC33" s="85"/>
      <c r="AD33" s="85"/>
      <c r="AE33" s="85"/>
      <c r="AF33" s="85"/>
      <c r="AG33" s="85"/>
      <c r="AH33" s="85"/>
      <c r="AI33" s="198"/>
      <c r="AJ33" s="26"/>
      <c r="AK33" s="49"/>
      <c r="AN33" s="38"/>
    </row>
    <row r="34" spans="1:44" ht="12" customHeight="1">
      <c r="A34" s="48"/>
      <c r="B34" s="45"/>
      <c r="C34" s="199"/>
      <c r="D34" s="88"/>
      <c r="E34" s="89"/>
      <c r="F34" s="89"/>
      <c r="G34" s="89"/>
      <c r="H34" s="89"/>
      <c r="I34" s="89"/>
      <c r="J34" s="89"/>
      <c r="K34" s="89"/>
      <c r="L34" s="90"/>
      <c r="M34" s="90"/>
      <c r="N34" s="90"/>
      <c r="O34" s="90"/>
      <c r="P34" s="90"/>
      <c r="Q34" s="90"/>
      <c r="R34" s="90"/>
      <c r="S34" s="90"/>
      <c r="T34" s="91"/>
      <c r="U34" s="91"/>
      <c r="V34" s="91"/>
      <c r="W34" s="91"/>
      <c r="X34" s="91"/>
      <c r="Y34" s="91"/>
      <c r="Z34" s="91"/>
      <c r="AA34" s="91"/>
      <c r="AB34" s="91"/>
      <c r="AC34" s="91"/>
      <c r="AD34" s="91"/>
      <c r="AE34" s="91"/>
      <c r="AF34" s="91"/>
      <c r="AG34" s="91"/>
      <c r="AH34" s="91"/>
      <c r="AI34" s="200"/>
      <c r="AJ34" s="45"/>
      <c r="AK34" s="49"/>
      <c r="AN34" s="116"/>
      <c r="AO34" s="116"/>
      <c r="AP34" s="116"/>
    </row>
    <row r="35" spans="1:44" ht="12" customHeight="1">
      <c r="A35" s="48"/>
      <c r="B35" s="45"/>
      <c r="C35" s="199"/>
      <c r="D35" s="88"/>
      <c r="E35" s="89"/>
      <c r="F35" s="89"/>
      <c r="G35" s="89"/>
      <c r="H35" s="89"/>
      <c r="I35" s="89"/>
      <c r="J35" s="89"/>
      <c r="K35" s="89"/>
      <c r="L35" s="90"/>
      <c r="M35" s="90"/>
      <c r="N35" s="90"/>
      <c r="O35" s="90"/>
      <c r="P35" s="90"/>
      <c r="Q35" s="90"/>
      <c r="R35" s="90"/>
      <c r="S35" s="90"/>
      <c r="T35" s="91"/>
      <c r="U35" s="91"/>
      <c r="V35" s="91"/>
      <c r="W35" s="91"/>
      <c r="X35" s="91"/>
      <c r="Y35" s="91"/>
      <c r="Z35" s="91"/>
      <c r="AA35" s="91"/>
      <c r="AB35" s="91"/>
      <c r="AC35" s="91"/>
      <c r="AD35" s="91"/>
      <c r="AE35" s="91"/>
      <c r="AF35" s="91"/>
      <c r="AG35" s="91"/>
      <c r="AH35" s="91"/>
      <c r="AI35" s="200"/>
      <c r="AJ35" s="45"/>
      <c r="AK35" s="49"/>
      <c r="AN35" s="74"/>
      <c r="AO35" s="74"/>
    </row>
    <row r="36" spans="1:44" ht="12" customHeight="1">
      <c r="A36" s="48"/>
      <c r="B36" s="45"/>
      <c r="C36" s="199"/>
      <c r="D36" s="88"/>
      <c r="E36" s="89"/>
      <c r="F36" s="89"/>
      <c r="G36" s="89"/>
      <c r="H36" s="89"/>
      <c r="I36" s="89"/>
      <c r="J36" s="89"/>
      <c r="K36" s="89"/>
      <c r="L36" s="90"/>
      <c r="M36" s="90"/>
      <c r="N36" s="90"/>
      <c r="O36" s="90"/>
      <c r="P36" s="90"/>
      <c r="Q36" s="90"/>
      <c r="R36" s="90"/>
      <c r="S36" s="90"/>
      <c r="T36" s="91"/>
      <c r="U36" s="91"/>
      <c r="V36" s="91"/>
      <c r="W36" s="91"/>
      <c r="X36" s="91"/>
      <c r="Y36" s="91"/>
      <c r="Z36" s="91"/>
      <c r="AA36" s="91"/>
      <c r="AB36" s="91"/>
      <c r="AC36" s="91"/>
      <c r="AD36" s="91"/>
      <c r="AE36" s="91"/>
      <c r="AF36" s="91"/>
      <c r="AG36" s="91"/>
      <c r="AH36" s="91"/>
      <c r="AI36" s="200"/>
      <c r="AJ36" s="45"/>
      <c r="AK36" s="49"/>
      <c r="AN36" s="73"/>
      <c r="AO36" s="74"/>
    </row>
    <row r="37" spans="1:44" ht="12" customHeight="1">
      <c r="A37" s="48"/>
      <c r="B37" s="45"/>
      <c r="C37" s="199"/>
      <c r="D37" s="88"/>
      <c r="E37" s="89"/>
      <c r="F37" s="89"/>
      <c r="G37" s="89"/>
      <c r="H37" s="89"/>
      <c r="I37" s="89"/>
      <c r="J37" s="89"/>
      <c r="K37" s="89"/>
      <c r="L37" s="90"/>
      <c r="M37" s="90"/>
      <c r="N37" s="90"/>
      <c r="O37" s="90"/>
      <c r="P37" s="90"/>
      <c r="Q37" s="90"/>
      <c r="R37" s="90"/>
      <c r="S37" s="90"/>
      <c r="T37" s="91"/>
      <c r="U37" s="91"/>
      <c r="V37" s="91"/>
      <c r="W37" s="91"/>
      <c r="X37" s="91"/>
      <c r="Y37" s="91"/>
      <c r="Z37" s="91"/>
      <c r="AA37" s="91"/>
      <c r="AB37" s="91"/>
      <c r="AC37" s="91"/>
      <c r="AD37" s="91"/>
      <c r="AE37" s="91"/>
      <c r="AF37" s="91"/>
      <c r="AG37" s="91"/>
      <c r="AH37" s="91"/>
      <c r="AI37" s="200"/>
      <c r="AJ37" s="45"/>
      <c r="AK37" s="49"/>
      <c r="AN37" s="74"/>
      <c r="AO37" s="74"/>
    </row>
    <row r="38" spans="1:44" ht="12" customHeight="1">
      <c r="A38" s="48"/>
      <c r="B38" s="45"/>
      <c r="C38" s="196"/>
      <c r="D38" s="83"/>
      <c r="E38" s="84"/>
      <c r="F38" s="84"/>
      <c r="G38" s="84"/>
      <c r="H38" s="84"/>
      <c r="I38" s="84"/>
      <c r="J38" s="84"/>
      <c r="K38" s="84"/>
      <c r="L38" s="84"/>
      <c r="M38" s="84"/>
      <c r="N38" s="84"/>
      <c r="O38" s="84"/>
      <c r="P38" s="84"/>
      <c r="Q38" s="84"/>
      <c r="R38" s="84"/>
      <c r="S38" s="84"/>
      <c r="T38" s="85"/>
      <c r="U38" s="85"/>
      <c r="V38" s="85"/>
      <c r="W38" s="85"/>
      <c r="X38" s="85"/>
      <c r="Y38" s="85"/>
      <c r="Z38" s="85"/>
      <c r="AA38" s="85"/>
      <c r="AB38" s="85"/>
      <c r="AC38" s="85"/>
      <c r="AD38" s="85"/>
      <c r="AE38" s="85"/>
      <c r="AF38" s="85"/>
      <c r="AG38" s="85"/>
      <c r="AH38" s="85"/>
      <c r="AI38" s="198"/>
      <c r="AJ38" s="45"/>
      <c r="AK38" s="49"/>
    </row>
    <row r="39" spans="1:44" ht="12" customHeight="1">
      <c r="A39" s="48"/>
      <c r="B39" s="45"/>
      <c r="C39" s="196"/>
      <c r="D39" s="83"/>
      <c r="E39" s="84"/>
      <c r="F39" s="84"/>
      <c r="G39" s="84"/>
      <c r="H39" s="84"/>
      <c r="I39" s="84"/>
      <c r="J39" s="84"/>
      <c r="K39" s="84"/>
      <c r="L39" s="86"/>
      <c r="M39" s="86"/>
      <c r="N39" s="86"/>
      <c r="O39" s="86"/>
      <c r="P39" s="84"/>
      <c r="Q39" s="84"/>
      <c r="R39" s="84"/>
      <c r="S39" s="84"/>
      <c r="T39" s="85"/>
      <c r="U39" s="85"/>
      <c r="V39" s="85"/>
      <c r="W39" s="85"/>
      <c r="X39" s="85"/>
      <c r="Y39" s="85"/>
      <c r="Z39" s="85"/>
      <c r="AA39" s="85"/>
      <c r="AB39" s="85"/>
      <c r="AC39" s="85"/>
      <c r="AD39" s="85"/>
      <c r="AE39" s="85"/>
      <c r="AF39" s="85"/>
      <c r="AG39" s="85"/>
      <c r="AH39" s="85"/>
      <c r="AI39" s="198"/>
      <c r="AJ39" s="45"/>
      <c r="AK39" s="49"/>
    </row>
    <row r="40" spans="1:44" ht="12" customHeight="1" thickBot="1">
      <c r="A40" s="48"/>
      <c r="B40" s="45"/>
      <c r="C40" s="196"/>
      <c r="D40" s="83"/>
      <c r="E40" s="84"/>
      <c r="F40" s="84"/>
      <c r="G40" s="317"/>
      <c r="H40" s="317"/>
      <c r="I40" s="84"/>
      <c r="J40" s="84"/>
      <c r="K40" s="84"/>
      <c r="L40" s="84"/>
      <c r="M40" s="84"/>
      <c r="N40" s="84"/>
      <c r="O40" s="84"/>
      <c r="P40" s="84"/>
      <c r="Q40" s="84"/>
      <c r="R40" s="84"/>
      <c r="S40" s="84"/>
      <c r="T40" s="85"/>
      <c r="U40" s="85"/>
      <c r="V40" s="85"/>
      <c r="W40" s="85"/>
      <c r="X40" s="85"/>
      <c r="Y40" s="85"/>
      <c r="Z40" s="85"/>
      <c r="AA40" s="85"/>
      <c r="AB40" s="85"/>
      <c r="AC40" s="85"/>
      <c r="AD40" s="85"/>
      <c r="AE40" s="85"/>
      <c r="AF40" s="85"/>
      <c r="AG40" s="85"/>
      <c r="AH40" s="85"/>
      <c r="AI40" s="198"/>
      <c r="AJ40" s="45"/>
      <c r="AK40" s="49"/>
    </row>
    <row r="41" spans="1:44" ht="12" customHeight="1">
      <c r="A41" s="48"/>
      <c r="B41" s="45"/>
      <c r="C41" s="312"/>
      <c r="D41" s="313"/>
      <c r="E41" s="314"/>
      <c r="F41" s="314"/>
      <c r="G41" s="318" t="s">
        <v>81</v>
      </c>
      <c r="H41" s="319" t="s">
        <v>117</v>
      </c>
      <c r="I41" s="314"/>
      <c r="J41" s="314"/>
      <c r="K41" s="314"/>
      <c r="L41" s="315"/>
      <c r="M41" s="315"/>
      <c r="N41" s="315"/>
      <c r="O41" s="315"/>
      <c r="P41" s="314"/>
      <c r="Q41" s="314"/>
      <c r="R41" s="314"/>
      <c r="S41" s="314"/>
      <c r="T41" s="316"/>
      <c r="U41" s="316"/>
      <c r="V41" s="316"/>
      <c r="W41" s="316"/>
      <c r="X41" s="316"/>
      <c r="Y41" s="316"/>
      <c r="Z41" s="316"/>
      <c r="AA41" s="316"/>
      <c r="AB41" s="316"/>
      <c r="AC41" s="316"/>
      <c r="AD41" s="316"/>
      <c r="AE41" s="316"/>
      <c r="AF41" s="316"/>
      <c r="AG41" s="316"/>
      <c r="AH41" s="316"/>
      <c r="AI41" s="316"/>
      <c r="AJ41" s="45"/>
      <c r="AK41" s="49"/>
    </row>
    <row r="42" spans="1:44" ht="12" customHeight="1">
      <c r="A42" s="48"/>
      <c r="B42" s="45"/>
      <c r="C42" s="63"/>
      <c r="D42" s="83"/>
      <c r="E42" s="84"/>
      <c r="F42" s="84"/>
      <c r="G42" s="84"/>
      <c r="H42" s="141" t="s">
        <v>118</v>
      </c>
      <c r="I42" s="84"/>
      <c r="J42" s="84"/>
      <c r="K42" s="84"/>
      <c r="L42" s="86"/>
      <c r="M42" s="86"/>
      <c r="N42" s="86"/>
      <c r="O42" s="86"/>
      <c r="P42" s="84"/>
      <c r="Q42" s="84"/>
      <c r="R42" s="84"/>
      <c r="S42" s="84"/>
      <c r="T42" s="85"/>
      <c r="U42" s="85"/>
      <c r="V42" s="85"/>
      <c r="W42" s="85"/>
      <c r="X42" s="85"/>
      <c r="Y42" s="85"/>
      <c r="Z42" s="85"/>
      <c r="AA42" s="85"/>
      <c r="AB42" s="85"/>
      <c r="AC42" s="85"/>
      <c r="AD42" s="85"/>
      <c r="AE42" s="85"/>
      <c r="AF42" s="85"/>
      <c r="AG42" s="85"/>
      <c r="AH42" s="85"/>
      <c r="AI42" s="85"/>
      <c r="AJ42" s="45"/>
      <c r="AK42" s="49"/>
      <c r="AQ42" s="74"/>
      <c r="AR42" s="74"/>
    </row>
    <row r="43" spans="1:44" ht="6" customHeight="1" thickBot="1">
      <c r="A43" s="48"/>
      <c r="B43" s="45"/>
      <c r="C43" s="63"/>
      <c r="D43" s="83"/>
      <c r="E43" s="84"/>
      <c r="F43" s="84"/>
      <c r="G43" s="84"/>
      <c r="H43" s="84"/>
      <c r="I43" s="84"/>
      <c r="J43" s="84"/>
      <c r="K43" s="84"/>
      <c r="L43" s="86"/>
      <c r="M43" s="86"/>
      <c r="N43" s="86"/>
      <c r="O43" s="86"/>
      <c r="P43" s="84"/>
      <c r="Q43" s="84"/>
      <c r="R43" s="84"/>
      <c r="S43" s="84"/>
      <c r="T43" s="85"/>
      <c r="U43" s="85"/>
      <c r="V43" s="85"/>
      <c r="W43" s="85"/>
      <c r="X43" s="85"/>
      <c r="Y43" s="85"/>
      <c r="Z43" s="85"/>
      <c r="AA43" s="85"/>
      <c r="AB43" s="85"/>
      <c r="AC43" s="85"/>
      <c r="AD43" s="85"/>
      <c r="AE43" s="85"/>
      <c r="AF43" s="85"/>
      <c r="AG43" s="85"/>
      <c r="AH43" s="85"/>
      <c r="AI43" s="85"/>
      <c r="AJ43" s="45"/>
      <c r="AK43" s="49"/>
      <c r="AQ43" s="74"/>
      <c r="AR43" s="74"/>
    </row>
    <row r="44" spans="1:44" ht="9.9499999999999993" customHeight="1">
      <c r="A44" s="48"/>
      <c r="B44" s="45"/>
      <c r="C44" s="611" t="s">
        <v>78</v>
      </c>
      <c r="D44" s="612"/>
      <c r="E44" s="612"/>
      <c r="F44" s="612"/>
      <c r="G44" s="612"/>
      <c r="H44" s="612"/>
      <c r="I44" s="612"/>
      <c r="J44" s="612"/>
      <c r="K44" s="612"/>
      <c r="L44" s="612"/>
      <c r="M44" s="612"/>
      <c r="N44" s="612"/>
      <c r="O44" s="612"/>
      <c r="P44" s="612"/>
      <c r="Q44" s="612"/>
      <c r="R44" s="612"/>
      <c r="S44" s="612"/>
      <c r="T44" s="612"/>
      <c r="U44" s="612"/>
      <c r="V44" s="612"/>
      <c r="W44" s="612"/>
      <c r="X44" s="612"/>
      <c r="Y44" s="612"/>
      <c r="Z44" s="612"/>
      <c r="AA44" s="612"/>
      <c r="AB44" s="612"/>
      <c r="AC44" s="612"/>
      <c r="AD44" s="612"/>
      <c r="AE44" s="612"/>
      <c r="AF44" s="612"/>
      <c r="AG44" s="612"/>
      <c r="AH44" s="612"/>
      <c r="AI44" s="613"/>
      <c r="AJ44" s="45"/>
      <c r="AK44" s="49"/>
    </row>
    <row r="45" spans="1:44" ht="9.9499999999999993" customHeight="1">
      <c r="A45" s="48"/>
      <c r="B45" s="45"/>
      <c r="C45" s="614"/>
      <c r="D45" s="615"/>
      <c r="E45" s="615"/>
      <c r="F45" s="615"/>
      <c r="G45" s="615"/>
      <c r="H45" s="615"/>
      <c r="I45" s="615"/>
      <c r="J45" s="615"/>
      <c r="K45" s="615"/>
      <c r="L45" s="615"/>
      <c r="M45" s="615"/>
      <c r="N45" s="615"/>
      <c r="O45" s="615"/>
      <c r="P45" s="615"/>
      <c r="Q45" s="615"/>
      <c r="R45" s="615"/>
      <c r="S45" s="615"/>
      <c r="T45" s="615"/>
      <c r="U45" s="615"/>
      <c r="V45" s="615"/>
      <c r="W45" s="615"/>
      <c r="X45" s="615"/>
      <c r="Y45" s="615"/>
      <c r="Z45" s="615"/>
      <c r="AA45" s="615"/>
      <c r="AB45" s="615"/>
      <c r="AC45" s="615"/>
      <c r="AD45" s="615"/>
      <c r="AE45" s="615"/>
      <c r="AF45" s="615"/>
      <c r="AG45" s="615"/>
      <c r="AH45" s="615"/>
      <c r="AI45" s="616"/>
      <c r="AJ45" s="45"/>
      <c r="AK45" s="49"/>
    </row>
    <row r="46" spans="1:44" ht="12" customHeight="1">
      <c r="A46" s="48"/>
      <c r="B46" s="45"/>
      <c r="C46" s="617" t="s">
        <v>80</v>
      </c>
      <c r="D46" s="618"/>
      <c r="E46" s="618"/>
      <c r="F46" s="618"/>
      <c r="G46" s="618"/>
      <c r="H46" s="618"/>
      <c r="I46" s="618"/>
      <c r="J46" s="618"/>
      <c r="K46" s="618"/>
      <c r="L46" s="618"/>
      <c r="M46" s="618"/>
      <c r="N46" s="618"/>
      <c r="O46" s="618"/>
      <c r="P46" s="618"/>
      <c r="Q46" s="618"/>
      <c r="R46" s="618"/>
      <c r="S46" s="618"/>
      <c r="T46" s="618"/>
      <c r="U46" s="618"/>
      <c r="V46" s="618"/>
      <c r="W46" s="618"/>
      <c r="X46" s="618"/>
      <c r="Y46" s="618"/>
      <c r="Z46" s="618"/>
      <c r="AA46" s="618"/>
      <c r="AB46" s="618"/>
      <c r="AC46" s="618"/>
      <c r="AD46" s="618"/>
      <c r="AE46" s="618"/>
      <c r="AF46" s="618"/>
      <c r="AG46" s="618"/>
      <c r="AH46" s="618"/>
      <c r="AI46" s="619"/>
      <c r="AJ46" s="45"/>
      <c r="AK46" s="49"/>
    </row>
    <row r="47" spans="1:44" ht="12" customHeight="1">
      <c r="A47" s="48"/>
      <c r="B47" s="45"/>
      <c r="C47" s="289"/>
      <c r="D47" s="290"/>
      <c r="E47" s="290"/>
      <c r="F47" s="290"/>
      <c r="G47" s="290"/>
      <c r="H47" s="290"/>
      <c r="I47" s="290"/>
      <c r="J47" s="290"/>
      <c r="K47" s="290"/>
      <c r="L47" s="290"/>
      <c r="M47" s="290"/>
      <c r="N47" s="290"/>
      <c r="O47" s="290"/>
      <c r="P47" s="290"/>
      <c r="Q47" s="290"/>
      <c r="R47" s="290"/>
      <c r="S47" s="290"/>
      <c r="T47" s="290"/>
      <c r="U47" s="290"/>
      <c r="V47" s="290"/>
      <c r="W47" s="290"/>
      <c r="X47" s="290"/>
      <c r="Y47" s="290"/>
      <c r="Z47" s="290"/>
      <c r="AA47" s="290"/>
      <c r="AB47" s="290"/>
      <c r="AC47" s="290"/>
      <c r="AD47" s="290"/>
      <c r="AE47" s="290"/>
      <c r="AF47" s="290"/>
      <c r="AG47" s="290"/>
      <c r="AH47" s="290"/>
      <c r="AI47" s="291"/>
      <c r="AJ47" s="45"/>
      <c r="AK47" s="49"/>
    </row>
    <row r="48" spans="1:44" ht="12" customHeight="1">
      <c r="A48" s="48"/>
      <c r="B48" s="45"/>
      <c r="C48" s="289"/>
      <c r="D48" s="290"/>
      <c r="E48" s="290"/>
      <c r="F48" s="290"/>
      <c r="G48" s="290"/>
      <c r="H48" s="290"/>
      <c r="I48" s="290"/>
      <c r="J48" s="290"/>
      <c r="K48" s="290"/>
      <c r="L48" s="290"/>
      <c r="M48" s="290"/>
      <c r="N48" s="290"/>
      <c r="O48" s="290"/>
      <c r="P48" s="290"/>
      <c r="Q48" s="290"/>
      <c r="R48" s="290"/>
      <c r="S48" s="290"/>
      <c r="T48" s="290"/>
      <c r="U48" s="290"/>
      <c r="V48" s="290"/>
      <c r="W48" s="290"/>
      <c r="X48" s="290"/>
      <c r="Y48" s="290"/>
      <c r="Z48" s="290"/>
      <c r="AA48" s="290"/>
      <c r="AB48" s="290"/>
      <c r="AC48" s="290"/>
      <c r="AD48" s="290"/>
      <c r="AE48" s="290"/>
      <c r="AF48" s="290"/>
      <c r="AG48" s="290"/>
      <c r="AH48" s="290"/>
      <c r="AI48" s="291"/>
      <c r="AJ48" s="45"/>
      <c r="AK48" s="49"/>
    </row>
    <row r="49" spans="1:37" ht="12" customHeight="1">
      <c r="A49" s="48"/>
      <c r="B49" s="45"/>
      <c r="C49" s="289"/>
      <c r="D49" s="290"/>
      <c r="E49" s="290"/>
      <c r="F49" s="290"/>
      <c r="G49" s="290"/>
      <c r="H49" s="290"/>
      <c r="I49" s="290"/>
      <c r="J49" s="290"/>
      <c r="K49" s="290"/>
      <c r="L49" s="290"/>
      <c r="M49" s="290"/>
      <c r="N49" s="290"/>
      <c r="O49" s="290"/>
      <c r="P49" s="290"/>
      <c r="Q49" s="290"/>
      <c r="R49" s="290"/>
      <c r="S49" s="290"/>
      <c r="T49" s="290"/>
      <c r="U49" s="290"/>
      <c r="V49" s="290"/>
      <c r="W49" s="290"/>
      <c r="X49" s="290"/>
      <c r="Y49" s="290"/>
      <c r="Z49" s="290"/>
      <c r="AA49" s="290"/>
      <c r="AB49" s="290"/>
      <c r="AC49" s="290"/>
      <c r="AD49" s="290"/>
      <c r="AE49" s="290"/>
      <c r="AF49" s="290"/>
      <c r="AG49" s="290"/>
      <c r="AH49" s="290"/>
      <c r="AI49" s="291"/>
      <c r="AJ49" s="45"/>
      <c r="AK49" s="49"/>
    </row>
    <row r="50" spans="1:37" ht="12" customHeight="1">
      <c r="A50" s="48"/>
      <c r="B50" s="45"/>
      <c r="C50" s="289"/>
      <c r="D50" s="290"/>
      <c r="E50" s="290"/>
      <c r="F50" s="290"/>
      <c r="G50" s="290"/>
      <c r="H50" s="290"/>
      <c r="I50" s="290"/>
      <c r="J50" s="290"/>
      <c r="K50" s="290"/>
      <c r="L50" s="290"/>
      <c r="M50" s="290"/>
      <c r="N50" s="290"/>
      <c r="O50" s="290"/>
      <c r="P50" s="290"/>
      <c r="Q50" s="290"/>
      <c r="R50" s="290"/>
      <c r="S50" s="290"/>
      <c r="T50" s="290"/>
      <c r="U50" s="290"/>
      <c r="V50" s="290"/>
      <c r="W50" s="290"/>
      <c r="X50" s="290"/>
      <c r="Y50" s="290"/>
      <c r="Z50" s="290"/>
      <c r="AA50" s="290"/>
      <c r="AB50" s="290"/>
      <c r="AC50" s="290"/>
      <c r="AD50" s="290"/>
      <c r="AE50" s="290"/>
      <c r="AF50" s="290"/>
      <c r="AG50" s="290"/>
      <c r="AH50" s="290"/>
      <c r="AI50" s="291"/>
      <c r="AJ50" s="45"/>
      <c r="AK50" s="49"/>
    </row>
    <row r="51" spans="1:37" ht="12" customHeight="1">
      <c r="A51" s="48"/>
      <c r="B51" s="45"/>
      <c r="C51" s="289"/>
      <c r="D51" s="290"/>
      <c r="E51" s="290"/>
      <c r="F51" s="290"/>
      <c r="G51" s="290"/>
      <c r="H51" s="290"/>
      <c r="I51" s="290"/>
      <c r="J51" s="290"/>
      <c r="K51" s="290"/>
      <c r="L51" s="290"/>
      <c r="M51" s="290"/>
      <c r="N51" s="290"/>
      <c r="O51" s="290"/>
      <c r="P51" s="290"/>
      <c r="Q51" s="290"/>
      <c r="R51" s="290"/>
      <c r="S51" s="290"/>
      <c r="T51" s="290"/>
      <c r="U51" s="290"/>
      <c r="V51" s="290"/>
      <c r="W51" s="290"/>
      <c r="X51" s="290"/>
      <c r="Y51" s="290"/>
      <c r="Z51" s="290"/>
      <c r="AA51" s="290"/>
      <c r="AB51" s="290"/>
      <c r="AC51" s="290"/>
      <c r="AD51" s="290"/>
      <c r="AE51" s="290"/>
      <c r="AF51" s="290"/>
      <c r="AG51" s="290"/>
      <c r="AH51" s="290"/>
      <c r="AI51" s="291"/>
      <c r="AJ51" s="45"/>
      <c r="AK51" s="49"/>
    </row>
    <row r="52" spans="1:37" ht="12" customHeight="1">
      <c r="A52" s="48"/>
      <c r="B52" s="45"/>
      <c r="C52" s="289"/>
      <c r="D52" s="290"/>
      <c r="E52" s="290"/>
      <c r="F52" s="290"/>
      <c r="G52" s="290"/>
      <c r="H52" s="290"/>
      <c r="I52" s="290"/>
      <c r="J52" s="290"/>
      <c r="K52" s="290"/>
      <c r="L52" s="290"/>
      <c r="M52" s="290"/>
      <c r="N52" s="290"/>
      <c r="O52" s="290"/>
      <c r="P52" s="290"/>
      <c r="Q52" s="290"/>
      <c r="R52" s="290"/>
      <c r="S52" s="290"/>
      <c r="T52" s="290"/>
      <c r="U52" s="290"/>
      <c r="V52" s="290"/>
      <c r="W52" s="290"/>
      <c r="X52" s="290"/>
      <c r="Y52" s="290"/>
      <c r="Z52" s="290"/>
      <c r="AA52" s="290"/>
      <c r="AB52" s="290"/>
      <c r="AC52" s="290"/>
      <c r="AD52" s="290"/>
      <c r="AE52" s="290"/>
      <c r="AF52" s="290"/>
      <c r="AG52" s="290"/>
      <c r="AH52" s="290"/>
      <c r="AI52" s="291"/>
      <c r="AJ52" s="45"/>
      <c r="AK52" s="49"/>
    </row>
    <row r="53" spans="1:37" ht="12" customHeight="1">
      <c r="A53" s="48"/>
      <c r="B53" s="45"/>
      <c r="C53" s="289"/>
      <c r="D53" s="290"/>
      <c r="E53" s="290"/>
      <c r="F53" s="290"/>
      <c r="G53" s="290"/>
      <c r="H53" s="290"/>
      <c r="I53" s="290"/>
      <c r="J53" s="290"/>
      <c r="K53" s="290"/>
      <c r="L53" s="290"/>
      <c r="M53" s="290"/>
      <c r="N53" s="290"/>
      <c r="O53" s="290"/>
      <c r="P53" s="290"/>
      <c r="Q53" s="290"/>
      <c r="R53" s="290"/>
      <c r="S53" s="290"/>
      <c r="T53" s="290"/>
      <c r="U53" s="290"/>
      <c r="V53" s="290"/>
      <c r="W53" s="290"/>
      <c r="X53" s="290"/>
      <c r="Y53" s="290"/>
      <c r="Z53" s="290"/>
      <c r="AA53" s="290"/>
      <c r="AB53" s="290"/>
      <c r="AC53" s="290"/>
      <c r="AD53" s="290"/>
      <c r="AE53" s="290"/>
      <c r="AF53" s="290"/>
      <c r="AG53" s="290"/>
      <c r="AH53" s="290"/>
      <c r="AI53" s="291"/>
      <c r="AJ53" s="45"/>
      <c r="AK53" s="49"/>
    </row>
    <row r="54" spans="1:37" ht="12" customHeight="1">
      <c r="A54" s="48"/>
      <c r="B54" s="45"/>
      <c r="C54" s="289"/>
      <c r="D54" s="290"/>
      <c r="E54" s="290"/>
      <c r="F54" s="290"/>
      <c r="G54" s="290"/>
      <c r="H54" s="290"/>
      <c r="I54" s="290"/>
      <c r="J54" s="290"/>
      <c r="K54" s="290"/>
      <c r="L54" s="290"/>
      <c r="M54" s="290"/>
      <c r="N54" s="290"/>
      <c r="O54" s="290"/>
      <c r="P54" s="290"/>
      <c r="Q54" s="290"/>
      <c r="R54" s="290"/>
      <c r="S54" s="290"/>
      <c r="T54" s="290"/>
      <c r="U54" s="290"/>
      <c r="V54" s="290"/>
      <c r="W54" s="290"/>
      <c r="X54" s="290"/>
      <c r="Y54" s="290"/>
      <c r="Z54" s="290"/>
      <c r="AA54" s="290"/>
      <c r="AB54" s="290"/>
      <c r="AC54" s="290"/>
      <c r="AD54" s="290"/>
      <c r="AE54" s="290"/>
      <c r="AF54" s="290"/>
      <c r="AG54" s="290"/>
      <c r="AH54" s="290"/>
      <c r="AI54" s="291"/>
      <c r="AJ54" s="45"/>
      <c r="AK54" s="49"/>
    </row>
    <row r="55" spans="1:37" ht="12" customHeight="1">
      <c r="A55" s="48"/>
      <c r="B55" s="45"/>
      <c r="C55" s="289"/>
      <c r="D55" s="290"/>
      <c r="E55" s="290"/>
      <c r="F55" s="290"/>
      <c r="G55" s="290"/>
      <c r="H55" s="290"/>
      <c r="I55" s="290"/>
      <c r="J55" s="290"/>
      <c r="K55" s="290"/>
      <c r="L55" s="290"/>
      <c r="M55" s="290"/>
      <c r="N55" s="290"/>
      <c r="O55" s="290"/>
      <c r="P55" s="290"/>
      <c r="Q55" s="290"/>
      <c r="R55" s="290"/>
      <c r="S55" s="290"/>
      <c r="T55" s="290"/>
      <c r="U55" s="290"/>
      <c r="V55" s="290"/>
      <c r="W55" s="290"/>
      <c r="X55" s="290"/>
      <c r="Y55" s="290"/>
      <c r="Z55" s="290"/>
      <c r="AA55" s="290"/>
      <c r="AB55" s="290"/>
      <c r="AC55" s="290"/>
      <c r="AD55" s="290"/>
      <c r="AE55" s="290"/>
      <c r="AF55" s="290"/>
      <c r="AG55" s="290"/>
      <c r="AH55" s="290"/>
      <c r="AI55" s="291"/>
      <c r="AJ55" s="45"/>
      <c r="AK55" s="49"/>
    </row>
    <row r="56" spans="1:37" ht="12" customHeight="1">
      <c r="A56" s="48"/>
      <c r="B56" s="45"/>
      <c r="C56" s="289"/>
      <c r="D56" s="290"/>
      <c r="E56" s="290"/>
      <c r="F56" s="290"/>
      <c r="G56" s="290"/>
      <c r="H56" s="290"/>
      <c r="I56" s="290"/>
      <c r="J56" s="290"/>
      <c r="K56" s="290"/>
      <c r="L56" s="290"/>
      <c r="M56" s="290"/>
      <c r="N56" s="290"/>
      <c r="O56" s="290"/>
      <c r="P56" s="290"/>
      <c r="Q56" s="290"/>
      <c r="R56" s="290"/>
      <c r="S56" s="290"/>
      <c r="T56" s="290"/>
      <c r="U56" s="290"/>
      <c r="V56" s="290"/>
      <c r="W56" s="290"/>
      <c r="X56" s="290"/>
      <c r="Y56" s="290"/>
      <c r="Z56" s="290"/>
      <c r="AA56" s="290"/>
      <c r="AB56" s="290"/>
      <c r="AC56" s="290"/>
      <c r="AD56" s="290"/>
      <c r="AE56" s="290"/>
      <c r="AF56" s="290"/>
      <c r="AG56" s="290"/>
      <c r="AH56" s="290"/>
      <c r="AI56" s="291"/>
      <c r="AJ56" s="45"/>
      <c r="AK56" s="49"/>
    </row>
    <row r="57" spans="1:37" ht="12" customHeight="1">
      <c r="A57" s="48"/>
      <c r="B57" s="45"/>
      <c r="C57" s="289"/>
      <c r="D57" s="290"/>
      <c r="E57" s="290"/>
      <c r="F57" s="290"/>
      <c r="G57" s="290"/>
      <c r="H57" s="290"/>
      <c r="I57" s="290"/>
      <c r="J57" s="290"/>
      <c r="K57" s="290"/>
      <c r="L57" s="290"/>
      <c r="M57" s="290"/>
      <c r="N57" s="290"/>
      <c r="O57" s="290"/>
      <c r="P57" s="290"/>
      <c r="Q57" s="290"/>
      <c r="R57" s="290"/>
      <c r="S57" s="290"/>
      <c r="T57" s="290"/>
      <c r="U57" s="290"/>
      <c r="V57" s="290"/>
      <c r="W57" s="290"/>
      <c r="X57" s="290"/>
      <c r="Y57" s="290"/>
      <c r="Z57" s="290"/>
      <c r="AA57" s="290"/>
      <c r="AB57" s="290"/>
      <c r="AC57" s="290"/>
      <c r="AD57" s="290"/>
      <c r="AE57" s="290"/>
      <c r="AF57" s="290"/>
      <c r="AG57" s="290"/>
      <c r="AH57" s="290"/>
      <c r="AI57" s="291"/>
      <c r="AJ57" s="45"/>
      <c r="AK57" s="49"/>
    </row>
    <row r="58" spans="1:37" ht="12" customHeight="1">
      <c r="A58" s="48"/>
      <c r="B58" s="45"/>
      <c r="C58" s="289"/>
      <c r="D58" s="290"/>
      <c r="E58" s="290"/>
      <c r="F58" s="290"/>
      <c r="G58" s="290"/>
      <c r="H58" s="290"/>
      <c r="I58" s="290"/>
      <c r="J58" s="290"/>
      <c r="K58" s="290"/>
      <c r="L58" s="290"/>
      <c r="M58" s="290"/>
      <c r="N58" s="290"/>
      <c r="O58" s="290"/>
      <c r="P58" s="290"/>
      <c r="Q58" s="290"/>
      <c r="R58" s="290"/>
      <c r="S58" s="290"/>
      <c r="T58" s="290"/>
      <c r="U58" s="290"/>
      <c r="V58" s="290"/>
      <c r="W58" s="290"/>
      <c r="X58" s="290"/>
      <c r="Y58" s="290"/>
      <c r="Z58" s="290"/>
      <c r="AA58" s="290"/>
      <c r="AB58" s="290"/>
      <c r="AC58" s="290"/>
      <c r="AD58" s="290"/>
      <c r="AE58" s="290"/>
      <c r="AF58" s="290"/>
      <c r="AG58" s="290"/>
      <c r="AH58" s="290"/>
      <c r="AI58" s="291"/>
      <c r="AJ58" s="45"/>
      <c r="AK58" s="49"/>
    </row>
    <row r="59" spans="1:37" ht="12" customHeight="1">
      <c r="A59" s="48"/>
      <c r="B59" s="45"/>
      <c r="C59" s="289"/>
      <c r="D59" s="290"/>
      <c r="E59" s="290"/>
      <c r="F59" s="290"/>
      <c r="G59" s="290"/>
      <c r="H59" s="290"/>
      <c r="I59" s="290"/>
      <c r="J59" s="290"/>
      <c r="K59" s="290"/>
      <c r="L59" s="290"/>
      <c r="M59" s="290"/>
      <c r="N59" s="290"/>
      <c r="O59" s="290"/>
      <c r="P59" s="290"/>
      <c r="Q59" s="290"/>
      <c r="R59" s="290"/>
      <c r="S59" s="290"/>
      <c r="T59" s="290"/>
      <c r="U59" s="290"/>
      <c r="V59" s="290"/>
      <c r="W59" s="290"/>
      <c r="X59" s="290"/>
      <c r="Y59" s="290"/>
      <c r="Z59" s="290"/>
      <c r="AA59" s="290"/>
      <c r="AB59" s="290"/>
      <c r="AC59" s="290"/>
      <c r="AD59" s="290"/>
      <c r="AE59" s="290"/>
      <c r="AF59" s="290"/>
      <c r="AG59" s="290"/>
      <c r="AH59" s="290"/>
      <c r="AI59" s="291"/>
      <c r="AJ59" s="45"/>
      <c r="AK59" s="49"/>
    </row>
    <row r="60" spans="1:37" ht="12" customHeight="1">
      <c r="A60" s="48"/>
      <c r="B60" s="45"/>
      <c r="C60" s="289"/>
      <c r="D60" s="290"/>
      <c r="E60" s="290"/>
      <c r="F60" s="290"/>
      <c r="G60" s="290"/>
      <c r="H60" s="290"/>
      <c r="I60" s="290"/>
      <c r="J60" s="290"/>
      <c r="K60" s="290"/>
      <c r="L60" s="290"/>
      <c r="M60" s="290"/>
      <c r="N60" s="290"/>
      <c r="O60" s="290"/>
      <c r="P60" s="290"/>
      <c r="Q60" s="290"/>
      <c r="R60" s="290"/>
      <c r="S60" s="290"/>
      <c r="T60" s="290"/>
      <c r="U60" s="290"/>
      <c r="V60" s="290"/>
      <c r="W60" s="290"/>
      <c r="X60" s="290"/>
      <c r="Y60" s="290"/>
      <c r="Z60" s="290"/>
      <c r="AA60" s="290"/>
      <c r="AB60" s="290"/>
      <c r="AC60" s="290"/>
      <c r="AD60" s="290"/>
      <c r="AE60" s="290"/>
      <c r="AF60" s="290"/>
      <c r="AG60" s="290"/>
      <c r="AH60" s="290"/>
      <c r="AI60" s="291"/>
      <c r="AJ60" s="45"/>
      <c r="AK60" s="49"/>
    </row>
    <row r="61" spans="1:37" ht="12" customHeight="1">
      <c r="A61" s="48"/>
      <c r="B61" s="45"/>
      <c r="C61" s="289"/>
      <c r="D61" s="290"/>
      <c r="E61" s="290"/>
      <c r="F61" s="290"/>
      <c r="G61" s="290"/>
      <c r="H61" s="290"/>
      <c r="I61" s="290"/>
      <c r="J61" s="290"/>
      <c r="K61" s="290"/>
      <c r="L61" s="290"/>
      <c r="M61" s="290"/>
      <c r="N61" s="290"/>
      <c r="O61" s="290"/>
      <c r="P61" s="290"/>
      <c r="Q61" s="290"/>
      <c r="R61" s="290"/>
      <c r="S61" s="290"/>
      <c r="T61" s="290"/>
      <c r="U61" s="290"/>
      <c r="V61" s="290"/>
      <c r="W61" s="290"/>
      <c r="X61" s="290"/>
      <c r="Y61" s="290"/>
      <c r="Z61" s="290"/>
      <c r="AA61" s="290"/>
      <c r="AB61" s="290"/>
      <c r="AC61" s="290"/>
      <c r="AD61" s="290"/>
      <c r="AE61" s="290"/>
      <c r="AF61" s="290"/>
      <c r="AG61" s="290"/>
      <c r="AH61" s="290"/>
      <c r="AI61" s="291"/>
      <c r="AJ61" s="45"/>
      <c r="AK61" s="49"/>
    </row>
    <row r="62" spans="1:37" ht="12" customHeight="1">
      <c r="A62" s="48"/>
      <c r="B62" s="45"/>
      <c r="C62" s="289"/>
      <c r="D62" s="290"/>
      <c r="E62" s="290"/>
      <c r="F62" s="290"/>
      <c r="G62" s="290"/>
      <c r="H62" s="290"/>
      <c r="I62" s="290"/>
      <c r="J62" s="290"/>
      <c r="K62" s="290"/>
      <c r="L62" s="290"/>
      <c r="M62" s="290"/>
      <c r="N62" s="290"/>
      <c r="O62" s="290"/>
      <c r="P62" s="290"/>
      <c r="Q62" s="290"/>
      <c r="R62" s="290"/>
      <c r="S62" s="290"/>
      <c r="T62" s="290"/>
      <c r="U62" s="290"/>
      <c r="V62" s="290"/>
      <c r="W62" s="290"/>
      <c r="X62" s="290"/>
      <c r="Y62" s="290"/>
      <c r="Z62" s="290"/>
      <c r="AA62" s="290"/>
      <c r="AB62" s="290"/>
      <c r="AC62" s="290"/>
      <c r="AD62" s="290"/>
      <c r="AE62" s="290"/>
      <c r="AF62" s="290"/>
      <c r="AG62" s="290"/>
      <c r="AH62" s="290"/>
      <c r="AI62" s="291"/>
      <c r="AJ62" s="45"/>
      <c r="AK62" s="49"/>
    </row>
    <row r="63" spans="1:37" ht="12" customHeight="1">
      <c r="A63" s="48"/>
      <c r="B63" s="45"/>
      <c r="C63" s="289"/>
      <c r="D63" s="290"/>
      <c r="E63" s="290"/>
      <c r="F63" s="290"/>
      <c r="G63" s="290"/>
      <c r="H63" s="290"/>
      <c r="I63" s="290"/>
      <c r="J63" s="290"/>
      <c r="K63" s="290"/>
      <c r="L63" s="290"/>
      <c r="M63" s="290"/>
      <c r="N63" s="290"/>
      <c r="O63" s="290"/>
      <c r="P63" s="290"/>
      <c r="Q63" s="290"/>
      <c r="R63" s="290"/>
      <c r="S63" s="290"/>
      <c r="T63" s="290"/>
      <c r="U63" s="290"/>
      <c r="V63" s="290"/>
      <c r="W63" s="290"/>
      <c r="X63" s="290"/>
      <c r="Y63" s="290"/>
      <c r="Z63" s="290"/>
      <c r="AA63" s="290"/>
      <c r="AB63" s="290"/>
      <c r="AC63" s="290"/>
      <c r="AD63" s="290"/>
      <c r="AE63" s="290"/>
      <c r="AF63" s="290"/>
      <c r="AG63" s="290"/>
      <c r="AH63" s="290"/>
      <c r="AI63" s="291"/>
      <c r="AJ63" s="45"/>
      <c r="AK63" s="49"/>
    </row>
    <row r="64" spans="1:37" ht="12" customHeight="1">
      <c r="A64" s="48"/>
      <c r="B64" s="45"/>
      <c r="C64" s="289"/>
      <c r="D64" s="290"/>
      <c r="E64" s="290"/>
      <c r="F64" s="290"/>
      <c r="G64" s="290"/>
      <c r="H64" s="290"/>
      <c r="I64" s="290"/>
      <c r="J64" s="290"/>
      <c r="K64" s="290"/>
      <c r="L64" s="290"/>
      <c r="M64" s="290"/>
      <c r="N64" s="290"/>
      <c r="O64" s="290"/>
      <c r="P64" s="290"/>
      <c r="Q64" s="290"/>
      <c r="R64" s="290"/>
      <c r="S64" s="290"/>
      <c r="T64" s="290"/>
      <c r="U64" s="290"/>
      <c r="V64" s="290"/>
      <c r="W64" s="290"/>
      <c r="X64" s="290"/>
      <c r="Y64" s="290"/>
      <c r="Z64" s="290"/>
      <c r="AA64" s="290"/>
      <c r="AB64" s="290"/>
      <c r="AC64" s="290"/>
      <c r="AD64" s="290"/>
      <c r="AE64" s="290"/>
      <c r="AF64" s="290"/>
      <c r="AG64" s="290"/>
      <c r="AH64" s="290"/>
      <c r="AI64" s="291"/>
      <c r="AJ64" s="45"/>
      <c r="AK64" s="49"/>
    </row>
    <row r="65" spans="1:41" ht="12" customHeight="1" thickBot="1">
      <c r="A65" s="48"/>
      <c r="B65" s="45"/>
      <c r="C65" s="201"/>
      <c r="D65" s="202"/>
      <c r="E65" s="203"/>
      <c r="F65" s="203"/>
      <c r="G65" s="203"/>
      <c r="H65" s="203"/>
      <c r="I65" s="203"/>
      <c r="J65" s="203"/>
      <c r="K65" s="203"/>
      <c r="L65" s="204"/>
      <c r="M65" s="204"/>
      <c r="N65" s="204"/>
      <c r="O65" s="204"/>
      <c r="P65" s="204"/>
      <c r="Q65" s="204"/>
      <c r="R65" s="204"/>
      <c r="S65" s="204"/>
      <c r="T65" s="165"/>
      <c r="U65" s="165"/>
      <c r="V65" s="165"/>
      <c r="W65" s="165"/>
      <c r="X65" s="165"/>
      <c r="Y65" s="165"/>
      <c r="Z65" s="165"/>
      <c r="AA65" s="165"/>
      <c r="AB65" s="165"/>
      <c r="AC65" s="165"/>
      <c r="AD65" s="165"/>
      <c r="AE65" s="165"/>
      <c r="AF65" s="165"/>
      <c r="AG65" s="165"/>
      <c r="AH65" s="165"/>
      <c r="AI65" s="205"/>
      <c r="AJ65" s="45"/>
      <c r="AK65" s="49"/>
    </row>
    <row r="66" spans="1:41" ht="12" customHeight="1">
      <c r="A66" s="48"/>
      <c r="B66" s="45"/>
      <c r="C66" s="88"/>
      <c r="D66" s="88"/>
      <c r="E66" s="89"/>
      <c r="F66" s="89"/>
      <c r="G66" s="138" t="s">
        <v>81</v>
      </c>
      <c r="H66" s="140" t="s">
        <v>119</v>
      </c>
      <c r="I66" s="89"/>
      <c r="J66" s="89"/>
      <c r="K66" s="89"/>
      <c r="L66" s="90"/>
      <c r="M66" s="90"/>
      <c r="N66" s="90"/>
      <c r="O66" s="90"/>
      <c r="P66" s="90"/>
      <c r="Q66" s="90"/>
      <c r="R66" s="90"/>
      <c r="S66" s="90"/>
      <c r="T66" s="91"/>
      <c r="U66" s="91"/>
      <c r="V66" s="91"/>
      <c r="W66" s="91"/>
      <c r="X66" s="91"/>
      <c r="Y66" s="91"/>
      <c r="Z66" s="91"/>
      <c r="AA66" s="91"/>
      <c r="AB66" s="91"/>
      <c r="AC66" s="91"/>
      <c r="AD66" s="91"/>
      <c r="AE66" s="91"/>
      <c r="AF66" s="91"/>
      <c r="AG66" s="91"/>
      <c r="AH66" s="91"/>
      <c r="AI66" s="91"/>
      <c r="AJ66" s="45"/>
      <c r="AK66" s="49"/>
      <c r="AN66" s="73"/>
      <c r="AO66" s="74"/>
    </row>
    <row r="67" spans="1:41" ht="12" customHeight="1">
      <c r="A67" s="48"/>
      <c r="B67" s="45"/>
      <c r="C67" s="88"/>
      <c r="D67" s="88"/>
      <c r="E67" s="89"/>
      <c r="F67" s="89"/>
      <c r="G67" s="138"/>
      <c r="H67" s="163" t="s">
        <v>120</v>
      </c>
      <c r="I67" s="89"/>
      <c r="J67" s="89"/>
      <c r="K67" s="89"/>
      <c r="L67" s="90"/>
      <c r="M67" s="90"/>
      <c r="N67" s="90"/>
      <c r="O67" s="90"/>
      <c r="P67" s="90"/>
      <c r="Q67" s="90"/>
      <c r="R67" s="90"/>
      <c r="S67" s="90"/>
      <c r="T67" s="91"/>
      <c r="U67" s="91"/>
      <c r="V67" s="91"/>
      <c r="W67" s="91"/>
      <c r="X67" s="91"/>
      <c r="Y67" s="91"/>
      <c r="Z67" s="91"/>
      <c r="AA67" s="91"/>
      <c r="AB67" s="91"/>
      <c r="AC67" s="91"/>
      <c r="AD67" s="91"/>
      <c r="AE67" s="91"/>
      <c r="AF67" s="91"/>
      <c r="AG67" s="91"/>
      <c r="AH67" s="91"/>
      <c r="AI67" s="91"/>
      <c r="AJ67" s="45"/>
      <c r="AK67" s="49"/>
      <c r="AN67" s="73"/>
      <c r="AO67" s="74"/>
    </row>
    <row r="68" spans="1:41" ht="6" customHeight="1">
      <c r="A68" s="50"/>
      <c r="B68" s="51"/>
      <c r="C68" s="51"/>
      <c r="D68" s="51"/>
      <c r="E68" s="51"/>
      <c r="F68" s="51"/>
      <c r="G68" s="51"/>
      <c r="H68" s="51"/>
      <c r="I68" s="51"/>
      <c r="J68" s="51"/>
      <c r="K68" s="51"/>
      <c r="L68" s="51"/>
      <c r="M68" s="51"/>
      <c r="N68" s="51"/>
      <c r="O68" s="51"/>
      <c r="P68" s="51"/>
      <c r="Q68" s="51"/>
      <c r="R68" s="51"/>
      <c r="S68" s="51"/>
      <c r="T68" s="51"/>
      <c r="U68" s="51"/>
      <c r="V68" s="51"/>
      <c r="W68" s="51"/>
      <c r="X68" s="51"/>
      <c r="Y68" s="51"/>
      <c r="Z68" s="51"/>
      <c r="AA68" s="51"/>
      <c r="AB68" s="51"/>
      <c r="AC68" s="51"/>
      <c r="AD68" s="51"/>
      <c r="AE68" s="51"/>
      <c r="AF68" s="51"/>
      <c r="AG68" s="51"/>
      <c r="AH68" s="51"/>
      <c r="AI68" s="51"/>
      <c r="AJ68" s="51"/>
      <c r="AK68" s="52"/>
    </row>
    <row r="69" spans="1:41" ht="9" customHeight="1"/>
    <row r="71" spans="1:41" ht="12" customHeight="1">
      <c r="D71" s="110"/>
      <c r="E71" s="112"/>
      <c r="G71" s="109"/>
      <c r="H71" s="169"/>
      <c r="I71" s="114"/>
    </row>
    <row r="72" spans="1:41" ht="12" customHeight="1">
      <c r="D72" s="111"/>
      <c r="E72" s="113"/>
      <c r="G72" s="115"/>
      <c r="H72" s="141"/>
      <c r="I72" s="114"/>
    </row>
    <row r="73" spans="1:41" ht="12" customHeight="1">
      <c r="D73" s="114"/>
      <c r="E73" s="114"/>
      <c r="F73" s="114"/>
      <c r="G73" s="114"/>
      <c r="H73" s="142"/>
      <c r="I73" s="114"/>
    </row>
    <row r="74" spans="1:41" ht="12" customHeight="1">
      <c r="D74" s="114"/>
      <c r="E74" s="114"/>
      <c r="G74" s="114"/>
      <c r="H74" s="169"/>
      <c r="I74" s="114"/>
    </row>
    <row r="75" spans="1:41" ht="12" customHeight="1">
      <c r="D75" s="114"/>
      <c r="E75" s="114"/>
      <c r="G75" s="114"/>
      <c r="H75" s="141"/>
      <c r="I75" s="114"/>
    </row>
  </sheetData>
  <sheetProtection sheet="1" objects="1" scenarios="1" selectLockedCells="1"/>
  <mergeCells count="21">
    <mergeCell ref="B2:AJ3"/>
    <mergeCell ref="I13:U13"/>
    <mergeCell ref="I14:U15"/>
    <mergeCell ref="I16:U17"/>
    <mergeCell ref="V11:W13"/>
    <mergeCell ref="X11:Y13"/>
    <mergeCell ref="V14:W15"/>
    <mergeCell ref="AB11:AC13"/>
    <mergeCell ref="Z11:AA13"/>
    <mergeCell ref="V16:W17"/>
    <mergeCell ref="X16:Y17"/>
    <mergeCell ref="X14:Y15"/>
    <mergeCell ref="Z16:AA17"/>
    <mergeCell ref="Z14:AA15"/>
    <mergeCell ref="AB16:AC17"/>
    <mergeCell ref="AB14:AC15"/>
    <mergeCell ref="C19:AI20"/>
    <mergeCell ref="C21:AI21"/>
    <mergeCell ref="C44:AI45"/>
    <mergeCell ref="C46:AI46"/>
    <mergeCell ref="V10:AC10"/>
  </mergeCells>
  <pageMargins left="0.5" right="0.25" top="0.25" bottom="0.5" header="0.3" footer="0.35"/>
  <pageSetup orientation="portrait" r:id="rId1"/>
  <headerFooter>
    <oddFooter>&amp;L&amp;"Arial,Italic"&amp;8Based on MUTCD 2009
Page 2 of 7&amp;C&amp;"Arial,Bold"&amp;8&amp;UNOTE:&amp;"Arial,Italic"&amp;U  The satisfaction of a warrant or warrants shall not in 
itself require the installation of a traffic control signal.&amp;R&amp;"Arial,Italic"&amp;8rev. 05/2011</oddFooter>
  </headerFooter>
  <drawing r:id="rId2"/>
</worksheet>
</file>

<file path=xl/worksheets/sheet3.xml><?xml version="1.0" encoding="utf-8"?>
<worksheet xmlns="http://schemas.openxmlformats.org/spreadsheetml/2006/main" xmlns:r="http://schemas.openxmlformats.org/officeDocument/2006/relationships">
  <sheetPr codeName="Sheet7"/>
  <dimension ref="A1:BT84"/>
  <sheetViews>
    <sheetView showGridLines="0" zoomScaleNormal="100" workbookViewId="0">
      <selection activeCell="C13" sqref="C13:Y15"/>
    </sheetView>
  </sheetViews>
  <sheetFormatPr defaultColWidth="2.7109375" defaultRowHeight="12" customHeight="1"/>
  <cols>
    <col min="1" max="1" width="0.85546875" customWidth="1"/>
    <col min="37" max="37" width="0.85546875" customWidth="1"/>
    <col min="40" max="42" width="2.7109375" hidden="1" customWidth="1"/>
    <col min="43" max="45" width="6.7109375" hidden="1" customWidth="1"/>
    <col min="46" max="46" width="2.7109375" customWidth="1"/>
  </cols>
  <sheetData>
    <row r="1" spans="1:45" ht="6" customHeight="1">
      <c r="A1" s="46"/>
      <c r="B1" s="19"/>
      <c r="C1" s="19"/>
      <c r="D1" s="19"/>
      <c r="E1" s="19"/>
      <c r="F1" s="19"/>
      <c r="G1" s="19"/>
      <c r="H1" s="19"/>
      <c r="I1" s="19"/>
      <c r="J1" s="19"/>
      <c r="K1" s="19"/>
      <c r="L1" s="19"/>
      <c r="M1" s="19"/>
      <c r="N1" s="19"/>
      <c r="O1" s="19"/>
      <c r="P1" s="19"/>
      <c r="Q1" s="19"/>
      <c r="R1" s="19"/>
      <c r="S1" s="19"/>
      <c r="T1" s="19"/>
      <c r="U1" s="19"/>
      <c r="V1" s="19"/>
      <c r="W1" s="19"/>
      <c r="X1" s="19"/>
      <c r="Y1" s="19"/>
      <c r="Z1" s="19"/>
      <c r="AA1" s="19"/>
      <c r="AB1" s="19"/>
      <c r="AC1" s="19"/>
      <c r="AD1" s="19"/>
      <c r="AE1" s="19"/>
      <c r="AF1" s="19"/>
      <c r="AG1" s="19"/>
      <c r="AH1" s="19"/>
      <c r="AI1" s="19"/>
      <c r="AJ1" s="19"/>
      <c r="AK1" s="47"/>
    </row>
    <row r="2" spans="1:45" ht="12" customHeight="1">
      <c r="A2" s="48"/>
      <c r="B2" s="492" t="s">
        <v>293</v>
      </c>
      <c r="C2" s="492"/>
      <c r="D2" s="492"/>
      <c r="E2" s="492"/>
      <c r="F2" s="492"/>
      <c r="G2" s="492"/>
      <c r="H2" s="492"/>
      <c r="I2" s="492"/>
      <c r="J2" s="492"/>
      <c r="K2" s="492"/>
      <c r="L2" s="492"/>
      <c r="M2" s="492"/>
      <c r="N2" s="492"/>
      <c r="O2" s="492"/>
      <c r="P2" s="492"/>
      <c r="Q2" s="492"/>
      <c r="R2" s="492"/>
      <c r="S2" s="492"/>
      <c r="T2" s="492"/>
      <c r="U2" s="492"/>
      <c r="V2" s="492"/>
      <c r="W2" s="492"/>
      <c r="X2" s="492"/>
      <c r="Y2" s="492"/>
      <c r="Z2" s="492"/>
      <c r="AA2" s="492"/>
      <c r="AB2" s="492"/>
      <c r="AC2" s="492"/>
      <c r="AD2" s="492"/>
      <c r="AE2" s="492"/>
      <c r="AF2" s="492"/>
      <c r="AG2" s="492"/>
      <c r="AH2" s="492"/>
      <c r="AI2" s="492"/>
      <c r="AJ2" s="492"/>
      <c r="AK2" s="49"/>
    </row>
    <row r="3" spans="1:45" ht="12" customHeight="1">
      <c r="A3" s="48"/>
      <c r="B3" s="492"/>
      <c r="C3" s="492"/>
      <c r="D3" s="492"/>
      <c r="E3" s="492"/>
      <c r="F3" s="492"/>
      <c r="G3" s="492"/>
      <c r="H3" s="492"/>
      <c r="I3" s="492"/>
      <c r="J3" s="492"/>
      <c r="K3" s="492"/>
      <c r="L3" s="492"/>
      <c r="M3" s="492"/>
      <c r="N3" s="492"/>
      <c r="O3" s="492"/>
      <c r="P3" s="492"/>
      <c r="Q3" s="492"/>
      <c r="R3" s="492"/>
      <c r="S3" s="492"/>
      <c r="T3" s="492"/>
      <c r="U3" s="492"/>
      <c r="V3" s="492"/>
      <c r="W3" s="492"/>
      <c r="X3" s="492"/>
      <c r="Y3" s="492"/>
      <c r="Z3" s="492"/>
      <c r="AA3" s="492"/>
      <c r="AB3" s="492"/>
      <c r="AC3" s="492"/>
      <c r="AD3" s="492"/>
      <c r="AE3" s="492"/>
      <c r="AF3" s="492"/>
      <c r="AG3" s="492"/>
      <c r="AH3" s="492"/>
      <c r="AI3" s="492"/>
      <c r="AJ3" s="492"/>
      <c r="AK3" s="49"/>
    </row>
    <row r="4" spans="1:45" ht="6" customHeight="1">
      <c r="A4" s="48"/>
      <c r="B4" s="176"/>
      <c r="C4" s="176"/>
      <c r="D4" s="176"/>
      <c r="E4" s="176"/>
      <c r="F4" s="176"/>
      <c r="G4" s="176"/>
      <c r="H4" s="176"/>
      <c r="I4" s="176"/>
      <c r="J4" s="176"/>
      <c r="K4" s="176"/>
      <c r="L4" s="176"/>
      <c r="M4" s="176"/>
      <c r="N4" s="176"/>
      <c r="O4" s="176"/>
      <c r="P4" s="176"/>
      <c r="Q4" s="176"/>
      <c r="R4" s="176"/>
      <c r="S4" s="176"/>
      <c r="T4" s="176"/>
      <c r="U4" s="176"/>
      <c r="V4" s="176"/>
      <c r="W4" s="176"/>
      <c r="X4" s="176"/>
      <c r="Y4" s="176"/>
      <c r="Z4" s="176"/>
      <c r="AA4" s="176"/>
      <c r="AB4" s="176"/>
      <c r="AC4" s="176"/>
      <c r="AD4" s="176"/>
      <c r="AE4" s="176"/>
      <c r="AF4" s="176"/>
      <c r="AG4" s="176"/>
      <c r="AH4" s="176"/>
      <c r="AI4" s="176"/>
      <c r="AJ4" s="34"/>
      <c r="AK4" s="49"/>
    </row>
    <row r="5" spans="1:45" ht="6" customHeight="1">
      <c r="A5" s="48"/>
      <c r="B5" s="26"/>
      <c r="C5" s="26"/>
      <c r="D5" s="26"/>
      <c r="E5" s="26"/>
      <c r="F5" s="26"/>
      <c r="G5" s="26"/>
      <c r="H5" s="26"/>
      <c r="I5" s="26"/>
      <c r="J5" s="26"/>
      <c r="K5" s="26"/>
      <c r="L5" s="26"/>
      <c r="M5" s="26"/>
      <c r="N5" s="26"/>
      <c r="O5" s="26"/>
      <c r="P5" s="26"/>
      <c r="Q5" s="26"/>
      <c r="R5" s="26"/>
      <c r="S5" s="26"/>
      <c r="T5" s="26"/>
      <c r="U5" s="26"/>
      <c r="V5" s="26"/>
      <c r="W5" s="26"/>
      <c r="X5" s="26"/>
      <c r="Y5" s="26"/>
      <c r="Z5" s="26"/>
      <c r="AA5" s="26"/>
      <c r="AB5" s="26"/>
      <c r="AC5" s="26"/>
      <c r="AD5" s="26"/>
      <c r="AE5" s="26"/>
      <c r="AF5" s="26"/>
      <c r="AG5" s="26"/>
      <c r="AH5" s="26"/>
      <c r="AI5" s="26"/>
      <c r="AJ5" s="26"/>
      <c r="AK5" s="49"/>
    </row>
    <row r="6" spans="1:45" ht="14.1" customHeight="1">
      <c r="A6" s="48"/>
      <c r="B6" s="35"/>
      <c r="C6" s="206" t="s">
        <v>92</v>
      </c>
      <c r="D6" s="26"/>
      <c r="E6" s="26"/>
      <c r="F6" s="26"/>
      <c r="G6" s="26"/>
      <c r="H6" s="26"/>
      <c r="I6" s="26"/>
      <c r="J6" s="26"/>
      <c r="K6" s="26"/>
      <c r="L6" s="26"/>
      <c r="M6" s="26"/>
      <c r="N6" s="26"/>
      <c r="O6" s="26"/>
      <c r="P6" s="26"/>
      <c r="Q6" s="26"/>
      <c r="R6" s="26"/>
      <c r="S6" s="26"/>
      <c r="T6" s="26"/>
      <c r="U6" s="26"/>
      <c r="V6" s="26"/>
      <c r="W6" s="26"/>
      <c r="X6" s="26"/>
      <c r="Y6" s="26"/>
      <c r="Z6" s="26"/>
      <c r="AA6" s="26"/>
      <c r="AB6" s="149" t="s">
        <v>93</v>
      </c>
      <c r="AC6" s="26"/>
      <c r="AD6" s="213" t="str">
        <f>IF(AP6=0,"",IF(AN6=1,"X",""))</f>
        <v/>
      </c>
      <c r="AE6" s="29" t="s">
        <v>27</v>
      </c>
      <c r="AF6" s="29"/>
      <c r="AG6" s="213" t="str">
        <f>IF(AP6=0,"",IF(AN6=0,"X",""))</f>
        <v/>
      </c>
      <c r="AH6" s="29" t="s">
        <v>28</v>
      </c>
      <c r="AI6" s="26"/>
      <c r="AJ6" s="26"/>
      <c r="AK6" s="49"/>
      <c r="AN6" s="18">
        <f>IF(C13="",0,1)</f>
        <v>0</v>
      </c>
      <c r="AP6" s="18">
        <f>IF('Warrant 1'!W9="",0,1)</f>
        <v>0</v>
      </c>
    </row>
    <row r="7" spans="1:45" ht="3.95" customHeight="1">
      <c r="A7" s="48"/>
      <c r="B7" s="35"/>
      <c r="C7" s="37"/>
      <c r="D7" s="26"/>
      <c r="E7" s="26"/>
      <c r="F7" s="26"/>
      <c r="G7" s="26"/>
      <c r="H7" s="26"/>
      <c r="I7" s="26"/>
      <c r="J7" s="26"/>
      <c r="K7" s="26"/>
      <c r="L7" s="26"/>
      <c r="M7" s="26"/>
      <c r="N7" s="26"/>
      <c r="O7" s="26"/>
      <c r="P7" s="26"/>
      <c r="Q7" s="26"/>
      <c r="R7" s="26"/>
      <c r="S7" s="26"/>
      <c r="T7" s="26"/>
      <c r="U7" s="26"/>
      <c r="V7" s="26"/>
      <c r="W7" s="26"/>
      <c r="X7" s="26"/>
      <c r="Y7" s="26"/>
      <c r="Z7" s="26"/>
      <c r="AA7" s="26"/>
      <c r="AB7" s="31"/>
      <c r="AC7" s="26"/>
      <c r="AD7" s="25"/>
      <c r="AE7" s="26"/>
      <c r="AF7" s="26"/>
      <c r="AG7" s="25"/>
      <c r="AH7" s="29"/>
      <c r="AI7" s="26"/>
      <c r="AJ7" s="26"/>
      <c r="AK7" s="49"/>
      <c r="AN7" s="18"/>
    </row>
    <row r="8" spans="1:45" ht="12" customHeight="1">
      <c r="A8" s="48"/>
      <c r="B8" s="35"/>
      <c r="D8" s="38" t="s">
        <v>220</v>
      </c>
      <c r="E8" s="26"/>
      <c r="F8" s="26"/>
      <c r="G8" s="26"/>
      <c r="H8" s="26"/>
      <c r="I8" s="26"/>
      <c r="J8" s="26"/>
      <c r="K8" s="26"/>
      <c r="L8" s="26"/>
      <c r="M8" s="26"/>
      <c r="N8" s="26"/>
      <c r="O8" s="26"/>
      <c r="P8" s="26"/>
      <c r="Q8" s="26"/>
      <c r="R8" s="26"/>
      <c r="S8" s="26"/>
      <c r="T8" s="26"/>
      <c r="U8" s="26"/>
      <c r="V8" s="26"/>
      <c r="W8" s="26"/>
      <c r="X8" s="26"/>
      <c r="Y8" s="26"/>
      <c r="Z8" s="26"/>
      <c r="AA8" s="26"/>
      <c r="AB8" s="149" t="s">
        <v>37</v>
      </c>
      <c r="AC8" s="26"/>
      <c r="AD8" s="213" t="str">
        <f>IF(AP6=0,"",IF(AN8=1,"X",""))</f>
        <v/>
      </c>
      <c r="AE8" s="29" t="s">
        <v>27</v>
      </c>
      <c r="AF8" s="29"/>
      <c r="AG8" s="213" t="str">
        <f>IF(AP6=0,"",IF(AN8=0,"X",""))</f>
        <v/>
      </c>
      <c r="AH8" s="29" t="s">
        <v>28</v>
      </c>
      <c r="AI8" s="26"/>
      <c r="AJ8" s="26"/>
      <c r="AK8" s="49"/>
      <c r="AN8" s="18">
        <f>IF(AN6=0,0,IF(W3Calc!L31&gt;=1,1,IF(AN65=1,1,0)))</f>
        <v>0</v>
      </c>
    </row>
    <row r="9" spans="1:45" ht="12" customHeight="1">
      <c r="A9" s="48"/>
      <c r="B9" s="26"/>
      <c r="D9" s="38" t="s">
        <v>222</v>
      </c>
      <c r="E9" s="64"/>
      <c r="F9" s="64"/>
      <c r="G9" s="64"/>
      <c r="H9" s="64"/>
      <c r="I9" s="64"/>
      <c r="J9" s="78"/>
      <c r="K9" s="79"/>
      <c r="L9" s="78"/>
      <c r="M9" s="78"/>
      <c r="N9" s="78"/>
      <c r="O9" s="78"/>
      <c r="P9" s="78"/>
      <c r="Q9" s="78"/>
      <c r="R9" s="78"/>
      <c r="S9" s="78"/>
      <c r="T9" s="76"/>
      <c r="U9" s="97"/>
      <c r="V9" s="45"/>
      <c r="W9" s="45"/>
      <c r="X9" s="45"/>
      <c r="Y9" s="45"/>
      <c r="Z9" s="45"/>
      <c r="AA9" s="45"/>
      <c r="AB9" s="45"/>
      <c r="AC9" s="45"/>
      <c r="AD9" s="63"/>
      <c r="AE9" s="65"/>
      <c r="AF9" s="63"/>
      <c r="AG9" s="63"/>
      <c r="AH9" s="63"/>
      <c r="AI9" s="63"/>
      <c r="AJ9" s="26"/>
      <c r="AK9" s="49"/>
      <c r="AR9" s="117"/>
      <c r="AS9" s="117"/>
    </row>
    <row r="10" spans="1:45" ht="12" customHeight="1">
      <c r="A10" s="48"/>
      <c r="B10" s="26"/>
      <c r="D10" s="38" t="s">
        <v>221</v>
      </c>
      <c r="E10" s="63"/>
      <c r="F10" s="63"/>
      <c r="G10" s="63"/>
      <c r="H10" s="63"/>
      <c r="I10" s="63"/>
      <c r="J10" s="144"/>
      <c r="K10" s="144"/>
      <c r="L10" s="144"/>
      <c r="M10" s="144"/>
      <c r="N10" s="144"/>
      <c r="O10" s="144"/>
      <c r="P10" s="144"/>
      <c r="Q10" s="144"/>
      <c r="R10" s="144"/>
      <c r="S10" s="145"/>
      <c r="T10" s="145"/>
      <c r="U10" s="146"/>
      <c r="V10" s="147"/>
      <c r="W10" s="147"/>
      <c r="X10" s="147"/>
      <c r="Y10" s="147"/>
      <c r="Z10" s="147"/>
      <c r="AA10" s="147"/>
      <c r="AB10" s="147"/>
      <c r="AC10" s="147"/>
      <c r="AD10" s="63"/>
      <c r="AE10" s="63"/>
      <c r="AF10" s="63"/>
      <c r="AG10" s="63"/>
      <c r="AH10" s="63"/>
      <c r="AI10" s="63"/>
      <c r="AJ10" s="26"/>
      <c r="AK10" s="49"/>
      <c r="AR10" s="117"/>
      <c r="AS10" s="117"/>
    </row>
    <row r="11" spans="1:45" ht="11.1" customHeight="1" thickBot="1">
      <c r="A11" s="48"/>
      <c r="C11" s="659" t="s">
        <v>223</v>
      </c>
      <c r="D11" s="659"/>
      <c r="E11" s="659"/>
      <c r="F11" s="659"/>
      <c r="G11" s="659"/>
      <c r="H11" s="659"/>
      <c r="I11" s="659"/>
      <c r="J11" s="659"/>
      <c r="K11" s="659"/>
      <c r="L11" s="659"/>
      <c r="M11" s="659"/>
      <c r="N11" s="659"/>
      <c r="O11" s="659"/>
      <c r="P11" s="659"/>
      <c r="Q11" s="659"/>
      <c r="R11" s="659"/>
      <c r="S11" s="659"/>
      <c r="T11" s="659"/>
      <c r="U11" s="659"/>
      <c r="V11" s="659"/>
      <c r="W11" s="659"/>
      <c r="X11" s="659"/>
      <c r="Y11" s="659"/>
      <c r="Z11" s="659"/>
      <c r="AA11" s="659"/>
      <c r="AB11" s="659"/>
      <c r="AC11" s="659"/>
      <c r="AD11" s="659"/>
      <c r="AE11" s="659"/>
      <c r="AF11" s="659"/>
      <c r="AG11" s="659"/>
      <c r="AH11" s="659"/>
      <c r="AI11" s="659"/>
      <c r="AJ11" s="140"/>
      <c r="AK11" s="49"/>
      <c r="AQ11" s="120"/>
      <c r="AR11" s="117"/>
      <c r="AS11" s="117"/>
    </row>
    <row r="12" spans="1:45" ht="12.95" customHeight="1" thickTop="1">
      <c r="A12" s="48"/>
      <c r="B12" s="26"/>
      <c r="C12" s="150" t="s">
        <v>102</v>
      </c>
      <c r="D12" s="150"/>
      <c r="E12" s="150"/>
      <c r="F12" s="150"/>
      <c r="G12" s="150"/>
      <c r="H12" s="150"/>
      <c r="I12" s="150"/>
      <c r="J12" s="150"/>
      <c r="K12" s="150"/>
      <c r="L12" s="150"/>
      <c r="M12" s="150"/>
      <c r="N12" s="150"/>
      <c r="O12" s="150"/>
      <c r="P12" s="150"/>
      <c r="Q12" s="150"/>
      <c r="R12" s="150"/>
      <c r="S12" s="150"/>
      <c r="T12" s="150"/>
      <c r="U12" s="150"/>
      <c r="V12" s="150"/>
      <c r="W12" s="150"/>
      <c r="X12" s="150"/>
      <c r="Y12" s="150"/>
      <c r="Z12" s="150"/>
      <c r="AA12" s="718" t="s">
        <v>260</v>
      </c>
      <c r="AB12" s="719"/>
      <c r="AC12" s="719"/>
      <c r="AD12" s="719"/>
      <c r="AE12" s="719"/>
      <c r="AF12" s="719"/>
      <c r="AG12" s="719"/>
      <c r="AH12" s="719"/>
      <c r="AI12" s="720"/>
      <c r="AJ12" s="26"/>
      <c r="AK12" s="49"/>
      <c r="AQ12" s="120"/>
      <c r="AR12" s="117"/>
      <c r="AS12" s="117"/>
    </row>
    <row r="13" spans="1:45" ht="12" customHeight="1">
      <c r="A13" s="48"/>
      <c r="B13" s="26"/>
      <c r="C13" s="685"/>
      <c r="D13" s="686"/>
      <c r="E13" s="686"/>
      <c r="F13" s="686"/>
      <c r="G13" s="686"/>
      <c r="H13" s="686"/>
      <c r="I13" s="686"/>
      <c r="J13" s="686"/>
      <c r="K13" s="686"/>
      <c r="L13" s="686"/>
      <c r="M13" s="686"/>
      <c r="N13" s="686"/>
      <c r="O13" s="686"/>
      <c r="P13" s="686"/>
      <c r="Q13" s="686"/>
      <c r="R13" s="686"/>
      <c r="S13" s="686"/>
      <c r="T13" s="686"/>
      <c r="U13" s="686"/>
      <c r="V13" s="686"/>
      <c r="W13" s="686"/>
      <c r="X13" s="686"/>
      <c r="Y13" s="687"/>
      <c r="Z13" s="148"/>
      <c r="AA13" s="721" t="s">
        <v>261</v>
      </c>
      <c r="AB13" s="722"/>
      <c r="AC13" s="722"/>
      <c r="AD13" s="723" t="s">
        <v>5</v>
      </c>
      <c r="AE13" s="722"/>
      <c r="AF13" s="724"/>
      <c r="AG13" s="722" t="s">
        <v>6</v>
      </c>
      <c r="AH13" s="722"/>
      <c r="AI13" s="725"/>
      <c r="AJ13" s="26"/>
      <c r="AK13" s="49"/>
    </row>
    <row r="14" spans="1:45" ht="12" customHeight="1" thickBot="1">
      <c r="A14" s="48"/>
      <c r="B14" s="26"/>
      <c r="C14" s="688"/>
      <c r="D14" s="689"/>
      <c r="E14" s="689"/>
      <c r="F14" s="689"/>
      <c r="G14" s="689"/>
      <c r="H14" s="689"/>
      <c r="I14" s="689"/>
      <c r="J14" s="689"/>
      <c r="K14" s="689"/>
      <c r="L14" s="689"/>
      <c r="M14" s="689"/>
      <c r="N14" s="689"/>
      <c r="O14" s="689"/>
      <c r="P14" s="689"/>
      <c r="Q14" s="689"/>
      <c r="R14" s="689"/>
      <c r="S14" s="689"/>
      <c r="T14" s="689"/>
      <c r="U14" s="689"/>
      <c r="V14" s="689"/>
      <c r="W14" s="689"/>
      <c r="X14" s="689"/>
      <c r="Y14" s="690"/>
      <c r="Z14" s="148"/>
      <c r="AA14" s="726" t="s">
        <v>94</v>
      </c>
      <c r="AB14" s="727"/>
      <c r="AC14" s="727"/>
      <c r="AD14" s="741" t="s">
        <v>95</v>
      </c>
      <c r="AE14" s="727"/>
      <c r="AF14" s="742"/>
      <c r="AG14" s="727" t="s">
        <v>95</v>
      </c>
      <c r="AH14" s="727"/>
      <c r="AI14" s="743"/>
      <c r="AJ14" s="26"/>
      <c r="AK14" s="49"/>
    </row>
    <row r="15" spans="1:45" ht="12" customHeight="1" thickBot="1">
      <c r="A15" s="48"/>
      <c r="B15" s="26"/>
      <c r="C15" s="691"/>
      <c r="D15" s="692"/>
      <c r="E15" s="692"/>
      <c r="F15" s="692"/>
      <c r="G15" s="692"/>
      <c r="H15" s="692"/>
      <c r="I15" s="692"/>
      <c r="J15" s="692"/>
      <c r="K15" s="692"/>
      <c r="L15" s="692"/>
      <c r="M15" s="692"/>
      <c r="N15" s="692"/>
      <c r="O15" s="692"/>
      <c r="P15" s="692"/>
      <c r="Q15" s="692"/>
      <c r="R15" s="692"/>
      <c r="S15" s="692"/>
      <c r="T15" s="692"/>
      <c r="U15" s="692"/>
      <c r="V15" s="692"/>
      <c r="W15" s="692"/>
      <c r="X15" s="692"/>
      <c r="Y15" s="693"/>
      <c r="Z15" s="148"/>
      <c r="AA15" s="744"/>
      <c r="AB15" s="745"/>
      <c r="AC15" s="745"/>
      <c r="AD15" s="746"/>
      <c r="AE15" s="747"/>
      <c r="AF15" s="748"/>
      <c r="AG15" s="747"/>
      <c r="AH15" s="747"/>
      <c r="AI15" s="749"/>
      <c r="AJ15" s="26"/>
      <c r="AK15" s="49"/>
    </row>
    <row r="16" spans="1:45" ht="6" customHeight="1" thickTop="1" thickBot="1">
      <c r="A16" s="48"/>
      <c r="B16" s="170"/>
      <c r="C16" s="207"/>
      <c r="D16" s="207"/>
      <c r="E16" s="207"/>
      <c r="F16" s="207"/>
      <c r="G16" s="207"/>
      <c r="H16" s="207"/>
      <c r="I16" s="207"/>
      <c r="J16" s="207"/>
      <c r="K16" s="207"/>
      <c r="L16" s="207"/>
      <c r="M16" s="207"/>
      <c r="N16" s="207"/>
      <c r="O16" s="207"/>
      <c r="P16" s="207"/>
      <c r="Q16" s="207"/>
      <c r="R16" s="207"/>
      <c r="S16" s="207"/>
      <c r="T16" s="207"/>
      <c r="U16" s="207"/>
      <c r="V16" s="207"/>
      <c r="W16" s="207"/>
      <c r="X16" s="207"/>
      <c r="Y16" s="207"/>
      <c r="Z16" s="148"/>
      <c r="AA16" s="208"/>
      <c r="AB16" s="208"/>
      <c r="AC16" s="208"/>
      <c r="AD16" s="162"/>
      <c r="AE16" s="162"/>
      <c r="AF16" s="162"/>
      <c r="AG16" s="162"/>
      <c r="AH16" s="162"/>
      <c r="AI16" s="162"/>
      <c r="AJ16" s="170"/>
      <c r="AK16" s="49"/>
    </row>
    <row r="17" spans="1:72" ht="9.9499999999999993" customHeight="1">
      <c r="A17" s="48"/>
      <c r="C17" s="611" t="s">
        <v>91</v>
      </c>
      <c r="D17" s="612"/>
      <c r="E17" s="612"/>
      <c r="F17" s="612"/>
      <c r="G17" s="612"/>
      <c r="H17" s="612"/>
      <c r="I17" s="612"/>
      <c r="J17" s="612"/>
      <c r="K17" s="612"/>
      <c r="L17" s="612"/>
      <c r="M17" s="612"/>
      <c r="N17" s="612"/>
      <c r="O17" s="612"/>
      <c r="P17" s="612"/>
      <c r="Q17" s="612"/>
      <c r="R17" s="612"/>
      <c r="S17" s="612"/>
      <c r="T17" s="612"/>
      <c r="U17" s="612"/>
      <c r="V17" s="612"/>
      <c r="W17" s="612"/>
      <c r="X17" s="612"/>
      <c r="Y17" s="612"/>
      <c r="Z17" s="612"/>
      <c r="AA17" s="612"/>
      <c r="AB17" s="612"/>
      <c r="AC17" s="612"/>
      <c r="AD17" s="612"/>
      <c r="AE17" s="612"/>
      <c r="AF17" s="612"/>
      <c r="AG17" s="612"/>
      <c r="AH17" s="612"/>
      <c r="AI17" s="613"/>
      <c r="AJ17" s="192"/>
      <c r="AK17" s="49"/>
    </row>
    <row r="18" spans="1:72" ht="9.9499999999999993" customHeight="1">
      <c r="A18" s="48"/>
      <c r="B18" s="192"/>
      <c r="C18" s="614"/>
      <c r="D18" s="615"/>
      <c r="E18" s="615"/>
      <c r="F18" s="615"/>
      <c r="G18" s="615"/>
      <c r="H18" s="615"/>
      <c r="I18" s="615"/>
      <c r="J18" s="615"/>
      <c r="K18" s="615"/>
      <c r="L18" s="615"/>
      <c r="M18" s="615"/>
      <c r="N18" s="615"/>
      <c r="O18" s="615"/>
      <c r="P18" s="615"/>
      <c r="Q18" s="615"/>
      <c r="R18" s="615"/>
      <c r="S18" s="615"/>
      <c r="T18" s="615"/>
      <c r="U18" s="615"/>
      <c r="V18" s="615"/>
      <c r="W18" s="615"/>
      <c r="X18" s="615"/>
      <c r="Y18" s="615"/>
      <c r="Z18" s="615"/>
      <c r="AA18" s="615"/>
      <c r="AB18" s="615"/>
      <c r="AC18" s="615"/>
      <c r="AD18" s="615"/>
      <c r="AE18" s="615"/>
      <c r="AF18" s="615"/>
      <c r="AG18" s="615"/>
      <c r="AH18" s="615"/>
      <c r="AI18" s="616"/>
      <c r="AJ18" s="192"/>
      <c r="AK18" s="49"/>
    </row>
    <row r="19" spans="1:72" ht="11.1" customHeight="1">
      <c r="A19" s="48"/>
      <c r="C19" s="617"/>
      <c r="D19" s="618"/>
      <c r="E19" s="618"/>
      <c r="F19" s="618"/>
      <c r="G19" s="618"/>
      <c r="H19" s="618"/>
      <c r="I19" s="618"/>
      <c r="J19" s="618"/>
      <c r="K19" s="618"/>
      <c r="L19" s="618"/>
      <c r="M19" s="618"/>
      <c r="N19" s="618"/>
      <c r="O19" s="618"/>
      <c r="P19" s="618"/>
      <c r="Q19" s="618"/>
      <c r="R19" s="618"/>
      <c r="S19" s="618"/>
      <c r="T19" s="618"/>
      <c r="U19" s="618"/>
      <c r="V19" s="618"/>
      <c r="W19" s="618"/>
      <c r="X19" s="618"/>
      <c r="Y19" s="618"/>
      <c r="Z19" s="618"/>
      <c r="AA19" s="618"/>
      <c r="AB19" s="618"/>
      <c r="AC19" s="618"/>
      <c r="AD19" s="618"/>
      <c r="AE19" s="618"/>
      <c r="AF19" s="618"/>
      <c r="AG19" s="618"/>
      <c r="AH19" s="618"/>
      <c r="AI19" s="619"/>
      <c r="AJ19" s="193"/>
      <c r="AK19" s="49"/>
    </row>
    <row r="20" spans="1:72" ht="12" customHeight="1">
      <c r="A20" s="48"/>
      <c r="B20" s="139"/>
      <c r="C20" s="194"/>
      <c r="D20" s="177"/>
      <c r="E20" s="177"/>
      <c r="F20" s="177"/>
      <c r="G20" s="177"/>
      <c r="H20" s="177"/>
      <c r="I20" s="177"/>
      <c r="J20" s="177"/>
      <c r="K20" s="177"/>
      <c r="L20" s="177"/>
      <c r="M20" s="177"/>
      <c r="N20" s="177"/>
      <c r="O20" s="177"/>
      <c r="P20" s="177"/>
      <c r="Q20" s="177"/>
      <c r="R20" s="177"/>
      <c r="S20" s="177"/>
      <c r="T20" s="177"/>
      <c r="U20" s="177"/>
      <c r="V20" s="177"/>
      <c r="W20" s="177"/>
      <c r="X20" s="177"/>
      <c r="Y20" s="177"/>
      <c r="Z20" s="177"/>
      <c r="AA20" s="177"/>
      <c r="AB20" s="177"/>
      <c r="AC20" s="177"/>
      <c r="AD20" s="177"/>
      <c r="AE20" s="177"/>
      <c r="AF20" s="177"/>
      <c r="AG20" s="177"/>
      <c r="AH20" s="177"/>
      <c r="AI20" s="195"/>
      <c r="AJ20" s="139"/>
      <c r="AK20" s="49"/>
    </row>
    <row r="21" spans="1:72" ht="12" customHeight="1">
      <c r="A21" s="48"/>
      <c r="B21" s="26"/>
      <c r="C21" s="196"/>
      <c r="D21" s="83"/>
      <c r="E21" s="84"/>
      <c r="F21" s="84"/>
      <c r="G21" s="84"/>
      <c r="H21" s="84"/>
      <c r="I21" s="84"/>
      <c r="J21" s="84"/>
      <c r="K21" s="84"/>
      <c r="L21" s="84"/>
      <c r="M21" s="84"/>
      <c r="N21" s="84"/>
      <c r="O21" s="84"/>
      <c r="P21" s="84"/>
      <c r="Q21" s="84"/>
      <c r="R21" s="84"/>
      <c r="S21" s="84"/>
      <c r="T21" s="84"/>
      <c r="U21" s="84"/>
      <c r="V21" s="84"/>
      <c r="W21" s="84"/>
      <c r="X21" s="84"/>
      <c r="Y21" s="84"/>
      <c r="Z21" s="84"/>
      <c r="AA21" s="84"/>
      <c r="AB21" s="84"/>
      <c r="AC21" s="84"/>
      <c r="AD21" s="84"/>
      <c r="AE21" s="84"/>
      <c r="AF21" s="84"/>
      <c r="AG21" s="84"/>
      <c r="AH21" s="84"/>
      <c r="AI21" s="197"/>
      <c r="AJ21" s="26"/>
      <c r="AK21" s="49"/>
      <c r="AO21" s="121"/>
      <c r="AP21" s="121"/>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row>
    <row r="22" spans="1:72" ht="12" customHeight="1">
      <c r="A22" s="48"/>
      <c r="B22" s="26"/>
      <c r="C22" s="199"/>
      <c r="D22" s="88"/>
      <c r="E22" s="89"/>
      <c r="F22" s="89"/>
      <c r="G22" s="89"/>
      <c r="H22" s="89"/>
      <c r="I22" s="89"/>
      <c r="J22" s="89"/>
      <c r="K22" s="89"/>
      <c r="L22" s="90"/>
      <c r="M22" s="90"/>
      <c r="N22" s="90"/>
      <c r="O22" s="90"/>
      <c r="P22" s="90"/>
      <c r="Q22" s="90"/>
      <c r="R22" s="90"/>
      <c r="S22" s="90"/>
      <c r="T22" s="91"/>
      <c r="U22" s="91"/>
      <c r="V22" s="91"/>
      <c r="W22" s="91"/>
      <c r="X22" s="91"/>
      <c r="Y22" s="91"/>
      <c r="Z22" s="91"/>
      <c r="AA22" s="91"/>
      <c r="AB22" s="91"/>
      <c r="AC22" s="91"/>
      <c r="AD22" s="91"/>
      <c r="AE22" s="91"/>
      <c r="AF22" s="91"/>
      <c r="AG22" s="91"/>
      <c r="AH22" s="91"/>
      <c r="AI22" s="200"/>
      <c r="AJ22" s="26"/>
      <c r="AK22" s="49"/>
      <c r="AN22" s="390"/>
      <c r="AO22" s="131"/>
      <c r="AP22" s="131"/>
      <c r="AQ22" s="45"/>
      <c r="AW22" s="60"/>
      <c r="AX22" s="60"/>
      <c r="AY22" s="60"/>
      <c r="AZ22" s="60"/>
      <c r="BA22" s="60"/>
      <c r="BB22" s="60"/>
      <c r="BC22" s="60"/>
      <c r="BD22" s="60"/>
      <c r="BE22" s="57"/>
      <c r="BF22" s="57"/>
      <c r="BG22" s="57"/>
      <c r="BH22" s="57"/>
      <c r="BI22" s="57"/>
      <c r="BJ22" s="57"/>
      <c r="BK22" s="57"/>
      <c r="BL22" s="57"/>
      <c r="BM22" s="57"/>
      <c r="BN22" s="57"/>
      <c r="BO22" s="57"/>
      <c r="BP22" s="57"/>
      <c r="BQ22" s="57"/>
      <c r="BR22" s="57"/>
      <c r="BS22" s="57"/>
      <c r="BT22" s="57"/>
    </row>
    <row r="23" spans="1:72" ht="12" customHeight="1">
      <c r="A23" s="48"/>
      <c r="B23" s="26"/>
      <c r="C23" s="196"/>
      <c r="D23" s="83"/>
      <c r="E23" s="84"/>
      <c r="F23" s="84"/>
      <c r="G23" s="84"/>
      <c r="H23" s="84"/>
      <c r="I23" s="84"/>
      <c r="J23" s="84"/>
      <c r="K23" s="84"/>
      <c r="L23" s="84"/>
      <c r="M23" s="84"/>
      <c r="N23" s="84"/>
      <c r="O23" s="84"/>
      <c r="P23" s="84"/>
      <c r="Q23" s="84"/>
      <c r="R23" s="84"/>
      <c r="S23" s="84"/>
      <c r="T23" s="85"/>
      <c r="U23" s="85"/>
      <c r="V23" s="85"/>
      <c r="W23" s="85"/>
      <c r="X23" s="85"/>
      <c r="Y23" s="85"/>
      <c r="Z23" s="85"/>
      <c r="AA23" s="85"/>
      <c r="AB23" s="85"/>
      <c r="AC23" s="85"/>
      <c r="AD23" s="85"/>
      <c r="AE23" s="85"/>
      <c r="AF23" s="85"/>
      <c r="AG23" s="85"/>
      <c r="AH23" s="85"/>
      <c r="AI23" s="198"/>
      <c r="AJ23" s="26"/>
      <c r="AK23" s="49"/>
      <c r="AN23" s="390"/>
      <c r="AO23" s="128"/>
      <c r="AP23" s="128"/>
      <c r="AQ23" s="45"/>
      <c r="AW23" s="44"/>
      <c r="AX23" s="44"/>
      <c r="AY23" s="44"/>
      <c r="AZ23" s="44"/>
      <c r="BA23" s="44"/>
      <c r="BB23" s="44"/>
      <c r="BC23" s="44"/>
      <c r="BD23" s="44"/>
      <c r="BE23" s="44"/>
      <c r="BF23" s="44"/>
      <c r="BG23" s="44"/>
      <c r="BH23" s="44"/>
      <c r="BI23" s="44"/>
      <c r="BJ23" s="44"/>
      <c r="BK23" s="44"/>
      <c r="BL23" s="44"/>
      <c r="BM23" s="44"/>
      <c r="BN23" s="44"/>
      <c r="BO23" s="44"/>
      <c r="BP23" s="44"/>
      <c r="BQ23" s="44"/>
      <c r="BR23" s="44"/>
      <c r="BS23" s="44"/>
      <c r="BT23" s="44"/>
    </row>
    <row r="24" spans="1:72" ht="12" customHeight="1">
      <c r="A24" s="48"/>
      <c r="B24" s="26"/>
      <c r="C24" s="196"/>
      <c r="D24" s="83"/>
      <c r="E24" s="84"/>
      <c r="F24" s="84"/>
      <c r="G24" s="84"/>
      <c r="H24" s="84"/>
      <c r="I24" s="84"/>
      <c r="J24" s="84"/>
      <c r="K24" s="84"/>
      <c r="L24" s="86"/>
      <c r="M24" s="86"/>
      <c r="N24" s="86"/>
      <c r="O24" s="86"/>
      <c r="P24" s="84"/>
      <c r="Q24" s="84"/>
      <c r="R24" s="84"/>
      <c r="S24" s="84"/>
      <c r="T24" s="85"/>
      <c r="U24" s="85"/>
      <c r="V24" s="85"/>
      <c r="W24" s="85"/>
      <c r="X24" s="85"/>
      <c r="Y24" s="85"/>
      <c r="Z24" s="85"/>
      <c r="AA24" s="85"/>
      <c r="AB24" s="85"/>
      <c r="AC24" s="85"/>
      <c r="AD24" s="85"/>
      <c r="AE24" s="85"/>
      <c r="AF24" s="85"/>
      <c r="AG24" s="85"/>
      <c r="AH24" s="85"/>
      <c r="AI24" s="198"/>
      <c r="AJ24" s="26"/>
      <c r="AK24" s="49"/>
      <c r="AN24" s="392"/>
      <c r="AP24" s="44"/>
      <c r="AW24" s="44"/>
      <c r="AX24" s="44"/>
      <c r="AY24" s="44"/>
      <c r="AZ24" s="44"/>
      <c r="BA24" s="44"/>
      <c r="BB24" s="44"/>
      <c r="BC24" s="44"/>
      <c r="BD24" s="44"/>
      <c r="BE24" s="44"/>
      <c r="BF24" s="44"/>
      <c r="BG24" s="44"/>
      <c r="BH24" s="44"/>
      <c r="BI24" s="44"/>
      <c r="BJ24" s="44"/>
      <c r="BK24" s="44"/>
      <c r="BL24" s="44"/>
      <c r="BM24" s="44"/>
      <c r="BN24" s="44"/>
      <c r="BO24" s="44"/>
      <c r="BP24" s="44"/>
      <c r="BQ24" s="44"/>
      <c r="BR24" s="44"/>
      <c r="BS24" s="44"/>
      <c r="BT24" s="44"/>
    </row>
    <row r="25" spans="1:72" ht="12" customHeight="1">
      <c r="A25" s="48"/>
      <c r="B25" s="26"/>
      <c r="C25" s="196"/>
      <c r="D25" s="83"/>
      <c r="E25" s="84"/>
      <c r="F25" s="84"/>
      <c r="G25" s="84"/>
      <c r="H25" s="84"/>
      <c r="I25" s="84"/>
      <c r="J25" s="84"/>
      <c r="K25" s="84"/>
      <c r="L25" s="87"/>
      <c r="M25" s="87"/>
      <c r="N25" s="87"/>
      <c r="O25" s="87"/>
      <c r="P25" s="87"/>
      <c r="Q25" s="87"/>
      <c r="R25" s="87"/>
      <c r="S25" s="87"/>
      <c r="T25" s="85"/>
      <c r="U25" s="85"/>
      <c r="V25" s="85"/>
      <c r="W25" s="85"/>
      <c r="X25" s="85"/>
      <c r="Y25" s="85"/>
      <c r="Z25" s="85"/>
      <c r="AA25" s="85"/>
      <c r="AB25" s="85"/>
      <c r="AC25" s="85"/>
      <c r="AD25" s="85"/>
      <c r="AE25" s="85"/>
      <c r="AF25" s="85"/>
      <c r="AG25" s="85"/>
      <c r="AH25" s="85"/>
      <c r="AI25" s="198"/>
      <c r="AJ25" s="26"/>
      <c r="AK25" s="49"/>
      <c r="AN25" s="392"/>
    </row>
    <row r="26" spans="1:72" ht="12" customHeight="1">
      <c r="A26" s="48"/>
      <c r="B26" s="45"/>
      <c r="C26" s="199"/>
      <c r="D26" s="88"/>
      <c r="E26" s="89"/>
      <c r="F26" s="89"/>
      <c r="G26" s="89"/>
      <c r="H26" s="89"/>
      <c r="I26" s="89"/>
      <c r="J26" s="89"/>
      <c r="K26" s="89"/>
      <c r="L26" s="90"/>
      <c r="M26" s="90"/>
      <c r="N26" s="90"/>
      <c r="O26" s="90"/>
      <c r="P26" s="90"/>
      <c r="Q26" s="90"/>
      <c r="R26" s="90"/>
      <c r="S26" s="90"/>
      <c r="T26" s="91"/>
      <c r="U26" s="91"/>
      <c r="V26" s="91"/>
      <c r="W26" s="91"/>
      <c r="X26" s="91"/>
      <c r="Y26" s="91"/>
      <c r="Z26" s="91"/>
      <c r="AA26" s="91"/>
      <c r="AB26" s="91"/>
      <c r="AC26" s="91"/>
      <c r="AD26" s="91"/>
      <c r="AE26" s="91"/>
      <c r="AF26" s="91"/>
      <c r="AG26" s="91"/>
      <c r="AH26" s="91"/>
      <c r="AI26" s="200"/>
      <c r="AJ26" s="45"/>
      <c r="AK26" s="49"/>
      <c r="AN26" s="393"/>
      <c r="AO26" s="116"/>
      <c r="AP26" s="116"/>
    </row>
    <row r="27" spans="1:72" ht="12" customHeight="1">
      <c r="A27" s="48"/>
      <c r="B27" s="45"/>
      <c r="C27" s="199"/>
      <c r="D27" s="88"/>
      <c r="E27" s="89"/>
      <c r="F27" s="89"/>
      <c r="G27" s="89"/>
      <c r="H27" s="89"/>
      <c r="I27" s="89"/>
      <c r="J27" s="89"/>
      <c r="K27" s="89"/>
      <c r="L27" s="90"/>
      <c r="M27" s="90"/>
      <c r="N27" s="90"/>
      <c r="O27" s="90"/>
      <c r="P27" s="90"/>
      <c r="Q27" s="90"/>
      <c r="R27" s="90"/>
      <c r="S27" s="90"/>
      <c r="T27" s="91"/>
      <c r="U27" s="91"/>
      <c r="V27" s="91"/>
      <c r="W27" s="91"/>
      <c r="X27" s="91"/>
      <c r="Y27" s="91"/>
      <c r="Z27" s="91"/>
      <c r="AA27" s="91"/>
      <c r="AB27" s="91"/>
      <c r="AC27" s="91"/>
      <c r="AD27" s="91"/>
      <c r="AE27" s="91"/>
      <c r="AF27" s="91"/>
      <c r="AG27" s="91"/>
      <c r="AH27" s="91"/>
      <c r="AI27" s="200"/>
      <c r="AJ27" s="45"/>
      <c r="AK27" s="49"/>
      <c r="AN27" s="391"/>
      <c r="AO27" s="74"/>
    </row>
    <row r="28" spans="1:72" ht="12" customHeight="1">
      <c r="A28" s="48"/>
      <c r="B28" s="45"/>
      <c r="C28" s="199"/>
      <c r="D28" s="88"/>
      <c r="E28" s="89"/>
      <c r="F28" s="89"/>
      <c r="G28" s="89"/>
      <c r="H28" s="89"/>
      <c r="I28" s="89"/>
      <c r="J28" s="89"/>
      <c r="K28" s="89"/>
      <c r="L28" s="90"/>
      <c r="M28" s="90"/>
      <c r="N28" s="90"/>
      <c r="O28" s="90"/>
      <c r="P28" s="90"/>
      <c r="Q28" s="90"/>
      <c r="R28" s="90"/>
      <c r="S28" s="90"/>
      <c r="T28" s="91"/>
      <c r="U28" s="91"/>
      <c r="V28" s="91"/>
      <c r="W28" s="91"/>
      <c r="X28" s="91"/>
      <c r="Y28" s="91"/>
      <c r="Z28" s="91"/>
      <c r="AA28" s="91"/>
      <c r="AB28" s="91"/>
      <c r="AC28" s="91"/>
      <c r="AD28" s="91"/>
      <c r="AE28" s="91"/>
      <c r="AF28" s="91"/>
      <c r="AG28" s="91"/>
      <c r="AH28" s="91"/>
      <c r="AI28" s="200"/>
      <c r="AJ28" s="45"/>
      <c r="AK28" s="49"/>
      <c r="AN28" s="394"/>
      <c r="AO28" s="74"/>
    </row>
    <row r="29" spans="1:72" ht="12" customHeight="1">
      <c r="A29" s="48"/>
      <c r="B29" s="45"/>
      <c r="C29" s="196"/>
      <c r="D29" s="83"/>
      <c r="E29" s="84"/>
      <c r="F29" s="84"/>
      <c r="G29" s="84"/>
      <c r="H29" s="84"/>
      <c r="I29" s="84"/>
      <c r="J29" s="84"/>
      <c r="K29" s="84"/>
      <c r="L29" s="84"/>
      <c r="M29" s="84"/>
      <c r="N29" s="84"/>
      <c r="O29" s="84"/>
      <c r="P29" s="84"/>
      <c r="Q29" s="84"/>
      <c r="R29" s="84"/>
      <c r="S29" s="84"/>
      <c r="T29" s="85"/>
      <c r="U29" s="85"/>
      <c r="V29" s="85"/>
      <c r="W29" s="85"/>
      <c r="X29" s="85"/>
      <c r="Y29" s="85"/>
      <c r="Z29" s="85"/>
      <c r="AA29" s="85"/>
      <c r="AB29" s="85"/>
      <c r="AC29" s="85"/>
      <c r="AD29" s="85"/>
      <c r="AE29" s="85"/>
      <c r="AF29" s="85"/>
      <c r="AG29" s="85"/>
      <c r="AH29" s="85"/>
      <c r="AI29" s="198"/>
      <c r="AJ29" s="45"/>
      <c r="AK29" s="49"/>
      <c r="AN29" s="390"/>
    </row>
    <row r="30" spans="1:72" ht="12" customHeight="1">
      <c r="A30" s="48"/>
      <c r="B30" s="45"/>
      <c r="C30" s="196"/>
      <c r="D30" s="83"/>
      <c r="E30" s="84"/>
      <c r="F30" s="84"/>
      <c r="G30" s="84"/>
      <c r="H30" s="84"/>
      <c r="I30" s="84"/>
      <c r="J30" s="84"/>
      <c r="K30" s="84"/>
      <c r="L30" s="86"/>
      <c r="M30" s="86"/>
      <c r="N30" s="86"/>
      <c r="O30" s="86"/>
      <c r="P30" s="84"/>
      <c r="Q30" s="84"/>
      <c r="R30" s="84"/>
      <c r="S30" s="84"/>
      <c r="T30" s="85"/>
      <c r="U30" s="85"/>
      <c r="V30" s="85"/>
      <c r="W30" s="85"/>
      <c r="X30" s="85"/>
      <c r="Y30" s="85"/>
      <c r="Z30" s="85"/>
      <c r="AA30" s="85"/>
      <c r="AB30" s="85"/>
      <c r="AC30" s="85"/>
      <c r="AD30" s="85"/>
      <c r="AE30" s="85"/>
      <c r="AF30" s="85"/>
      <c r="AG30" s="85"/>
      <c r="AH30" s="85"/>
      <c r="AI30" s="198"/>
      <c r="AJ30" s="45"/>
      <c r="AK30" s="49"/>
      <c r="AN30" s="390"/>
    </row>
    <row r="31" spans="1:72" ht="12" customHeight="1">
      <c r="A31" s="48"/>
      <c r="B31" s="45"/>
      <c r="C31" s="196"/>
      <c r="D31" s="83"/>
      <c r="E31" s="84"/>
      <c r="F31" s="84"/>
      <c r="G31" s="84"/>
      <c r="H31" s="84"/>
      <c r="I31" s="84"/>
      <c r="J31" s="84"/>
      <c r="K31" s="84"/>
      <c r="L31" s="87"/>
      <c r="M31" s="87"/>
      <c r="N31" s="87"/>
      <c r="O31" s="87"/>
      <c r="P31" s="87"/>
      <c r="Q31" s="87"/>
      <c r="R31" s="87"/>
      <c r="S31" s="87"/>
      <c r="T31" s="85"/>
      <c r="U31" s="85"/>
      <c r="V31" s="85"/>
      <c r="W31" s="85"/>
      <c r="X31" s="85"/>
      <c r="Y31" s="85"/>
      <c r="Z31" s="85"/>
      <c r="AA31" s="85"/>
      <c r="AB31" s="85"/>
      <c r="AC31" s="85"/>
      <c r="AD31" s="85"/>
      <c r="AE31" s="85"/>
      <c r="AF31" s="85"/>
      <c r="AG31" s="85"/>
      <c r="AH31" s="85"/>
      <c r="AI31" s="198"/>
      <c r="AJ31" s="45"/>
      <c r="AK31" s="49"/>
      <c r="AN31" s="390"/>
    </row>
    <row r="32" spans="1:72" ht="12" customHeight="1">
      <c r="A32" s="48"/>
      <c r="B32" s="45"/>
      <c r="C32" s="199"/>
      <c r="D32" s="88"/>
      <c r="E32" s="89"/>
      <c r="F32" s="89"/>
      <c r="G32" s="89"/>
      <c r="H32" s="89"/>
      <c r="I32" s="89"/>
      <c r="J32" s="89"/>
      <c r="K32" s="89"/>
      <c r="L32" s="90"/>
      <c r="M32" s="90"/>
      <c r="N32" s="90"/>
      <c r="O32" s="90"/>
      <c r="P32" s="90"/>
      <c r="Q32" s="90"/>
      <c r="R32" s="90"/>
      <c r="S32" s="90"/>
      <c r="T32" s="91"/>
      <c r="U32" s="91"/>
      <c r="V32" s="91"/>
      <c r="W32" s="91"/>
      <c r="X32" s="91"/>
      <c r="Y32" s="91"/>
      <c r="Z32" s="91"/>
      <c r="AA32" s="91"/>
      <c r="AB32" s="91"/>
      <c r="AC32" s="91"/>
      <c r="AD32" s="91"/>
      <c r="AE32" s="91"/>
      <c r="AF32" s="91"/>
      <c r="AG32" s="91"/>
      <c r="AH32" s="91"/>
      <c r="AI32" s="200"/>
      <c r="AJ32" s="45"/>
      <c r="AK32" s="49"/>
      <c r="AN32" s="73"/>
      <c r="AO32" s="74"/>
    </row>
    <row r="33" spans="1:72" ht="12" customHeight="1">
      <c r="A33" s="48"/>
      <c r="B33" s="45"/>
      <c r="C33" s="199"/>
      <c r="D33" s="88"/>
      <c r="E33" s="89"/>
      <c r="F33" s="89"/>
      <c r="G33" s="89"/>
      <c r="H33" s="89"/>
      <c r="I33" s="89"/>
      <c r="J33" s="89"/>
      <c r="K33" s="89"/>
      <c r="L33" s="90"/>
      <c r="M33" s="90"/>
      <c r="N33" s="90"/>
      <c r="O33" s="90"/>
      <c r="P33" s="90"/>
      <c r="Q33" s="90"/>
      <c r="R33" s="90"/>
      <c r="S33" s="90"/>
      <c r="T33" s="91"/>
      <c r="U33" s="91"/>
      <c r="V33" s="91"/>
      <c r="W33" s="91"/>
      <c r="X33" s="91"/>
      <c r="Y33" s="91"/>
      <c r="Z33" s="91"/>
      <c r="AA33" s="91"/>
      <c r="AB33" s="91"/>
      <c r="AC33" s="91"/>
      <c r="AD33" s="91"/>
      <c r="AE33" s="91"/>
      <c r="AF33" s="91"/>
      <c r="AG33" s="91"/>
      <c r="AH33" s="91"/>
      <c r="AI33" s="200"/>
      <c r="AJ33" s="45"/>
      <c r="AK33" s="49"/>
      <c r="AN33" s="74"/>
      <c r="AO33" s="74"/>
    </row>
    <row r="34" spans="1:72" ht="12" customHeight="1">
      <c r="A34" s="48"/>
      <c r="B34" s="45"/>
      <c r="C34" s="199"/>
      <c r="D34" s="88"/>
      <c r="E34" s="89"/>
      <c r="F34" s="89"/>
      <c r="G34" s="89"/>
      <c r="H34" s="89"/>
      <c r="I34" s="89"/>
      <c r="J34" s="89"/>
      <c r="K34" s="89"/>
      <c r="L34" s="90"/>
      <c r="M34" s="90"/>
      <c r="N34" s="90"/>
      <c r="O34" s="90"/>
      <c r="P34" s="90"/>
      <c r="Q34" s="90"/>
      <c r="R34" s="90"/>
      <c r="S34" s="90"/>
      <c r="T34" s="91"/>
      <c r="U34" s="91"/>
      <c r="V34" s="91"/>
      <c r="W34" s="91"/>
      <c r="X34" s="91"/>
      <c r="Y34" s="91"/>
      <c r="Z34" s="91"/>
      <c r="AA34" s="91"/>
      <c r="AB34" s="91"/>
      <c r="AC34" s="91"/>
      <c r="AD34" s="91"/>
      <c r="AE34" s="91"/>
      <c r="AF34" s="91"/>
      <c r="AG34" s="91"/>
      <c r="AH34" s="91"/>
      <c r="AI34" s="200"/>
      <c r="AJ34" s="45"/>
      <c r="AK34" s="49"/>
      <c r="AN34" s="73"/>
      <c r="AO34" s="74"/>
    </row>
    <row r="35" spans="1:72" ht="12" customHeight="1" thickBot="1">
      <c r="A35" s="48"/>
      <c r="B35" s="45"/>
      <c r="C35" s="201"/>
      <c r="D35" s="202"/>
      <c r="E35" s="203"/>
      <c r="F35" s="203"/>
      <c r="G35" s="203"/>
      <c r="H35" s="203"/>
      <c r="I35" s="203"/>
      <c r="J35" s="203"/>
      <c r="K35" s="203"/>
      <c r="L35" s="204"/>
      <c r="M35" s="204"/>
      <c r="N35" s="204"/>
      <c r="O35" s="204"/>
      <c r="P35" s="204"/>
      <c r="Q35" s="204"/>
      <c r="R35" s="204"/>
      <c r="S35" s="204"/>
      <c r="T35" s="165"/>
      <c r="U35" s="165"/>
      <c r="V35" s="165"/>
      <c r="W35" s="165"/>
      <c r="X35" s="165"/>
      <c r="Y35" s="165"/>
      <c r="Z35" s="165"/>
      <c r="AA35" s="165"/>
      <c r="AB35" s="165"/>
      <c r="AC35" s="165"/>
      <c r="AD35" s="165"/>
      <c r="AE35" s="165"/>
      <c r="AF35" s="165"/>
      <c r="AG35" s="165"/>
      <c r="AH35" s="165"/>
      <c r="AI35" s="205"/>
      <c r="AJ35" s="45"/>
      <c r="AK35" s="49"/>
      <c r="AN35" s="74"/>
      <c r="AO35" s="74"/>
    </row>
    <row r="36" spans="1:72" ht="11.1" customHeight="1">
      <c r="A36" s="48"/>
      <c r="B36" s="45"/>
      <c r="C36" s="63"/>
      <c r="D36" s="83"/>
      <c r="E36" s="84"/>
      <c r="F36" s="84"/>
      <c r="G36" s="400" t="s">
        <v>81</v>
      </c>
      <c r="H36" s="401" t="s">
        <v>113</v>
      </c>
      <c r="I36" s="84"/>
      <c r="J36" s="84"/>
      <c r="K36" s="84"/>
      <c r="L36" s="84"/>
      <c r="M36" s="84"/>
      <c r="N36" s="84"/>
      <c r="O36" s="84"/>
      <c r="P36" s="84"/>
      <c r="Q36" s="84"/>
      <c r="R36" s="84"/>
      <c r="S36" s="84"/>
      <c r="T36" s="85"/>
      <c r="U36" s="85"/>
      <c r="V36" s="85"/>
      <c r="W36" s="85"/>
      <c r="X36" s="85"/>
      <c r="Y36" s="85"/>
      <c r="Z36" s="85"/>
      <c r="AA36" s="85"/>
      <c r="AB36" s="85"/>
      <c r="AC36" s="85"/>
      <c r="AD36" s="85"/>
      <c r="AE36" s="85"/>
      <c r="AF36" s="85"/>
      <c r="AG36" s="85"/>
      <c r="AH36" s="85"/>
      <c r="AI36" s="85"/>
      <c r="AJ36" s="45"/>
      <c r="AK36" s="49"/>
    </row>
    <row r="37" spans="1:72" ht="11.1" customHeight="1">
      <c r="A37" s="48"/>
      <c r="B37" s="45"/>
      <c r="C37" s="63"/>
      <c r="D37" s="83"/>
      <c r="E37" s="84"/>
      <c r="F37" s="84"/>
      <c r="G37" s="74"/>
      <c r="H37" s="401" t="s">
        <v>116</v>
      </c>
      <c r="I37" s="84"/>
      <c r="J37" s="84"/>
      <c r="K37" s="84"/>
      <c r="L37" s="86"/>
      <c r="M37" s="86"/>
      <c r="N37" s="86"/>
      <c r="O37" s="86"/>
      <c r="P37" s="84"/>
      <c r="Q37" s="84"/>
      <c r="R37" s="84"/>
      <c r="S37" s="84"/>
      <c r="T37" s="85"/>
      <c r="U37" s="85"/>
      <c r="V37" s="85"/>
      <c r="W37" s="85"/>
      <c r="X37" s="85"/>
      <c r="Y37" s="85"/>
      <c r="Z37" s="85"/>
      <c r="AA37" s="85"/>
      <c r="AB37" s="85"/>
      <c r="AC37" s="85"/>
      <c r="AD37" s="85"/>
      <c r="AE37" s="85"/>
      <c r="AF37" s="85"/>
      <c r="AG37" s="85"/>
      <c r="AH37" s="85"/>
      <c r="AI37" s="85"/>
      <c r="AJ37" s="45"/>
      <c r="AK37" s="49"/>
    </row>
    <row r="38" spans="1:72" ht="3.95" customHeight="1" thickBot="1">
      <c r="A38" s="48"/>
      <c r="B38" s="45"/>
      <c r="C38" s="63"/>
      <c r="D38" s="83"/>
      <c r="E38" s="84"/>
      <c r="F38" s="84"/>
      <c r="H38" s="163"/>
      <c r="I38" s="84"/>
      <c r="J38" s="84"/>
      <c r="K38" s="84"/>
      <c r="L38" s="86"/>
      <c r="M38" s="86"/>
      <c r="N38" s="86"/>
      <c r="O38" s="86"/>
      <c r="P38" s="84"/>
      <c r="Q38" s="84"/>
      <c r="R38" s="84"/>
      <c r="S38" s="84"/>
      <c r="T38" s="85"/>
      <c r="U38" s="85"/>
      <c r="V38" s="85"/>
      <c r="W38" s="85"/>
      <c r="X38" s="85"/>
      <c r="Y38" s="85"/>
      <c r="Z38" s="85"/>
      <c r="AA38" s="85"/>
      <c r="AB38" s="85"/>
      <c r="AC38" s="85"/>
      <c r="AD38" s="85"/>
      <c r="AE38" s="85"/>
      <c r="AF38" s="85"/>
      <c r="AG38" s="85"/>
      <c r="AH38" s="85"/>
      <c r="AI38" s="85"/>
      <c r="AJ38" s="45"/>
      <c r="AK38" s="49"/>
    </row>
    <row r="39" spans="1:72" ht="9.9499999999999993" customHeight="1">
      <c r="A39" s="48"/>
      <c r="C39" s="611" t="s">
        <v>90</v>
      </c>
      <c r="D39" s="612"/>
      <c r="E39" s="612"/>
      <c r="F39" s="612"/>
      <c r="G39" s="612"/>
      <c r="H39" s="612"/>
      <c r="I39" s="612"/>
      <c r="J39" s="612"/>
      <c r="K39" s="612"/>
      <c r="L39" s="612"/>
      <c r="M39" s="612"/>
      <c r="N39" s="612"/>
      <c r="O39" s="612"/>
      <c r="P39" s="612"/>
      <c r="Q39" s="612"/>
      <c r="R39" s="612"/>
      <c r="S39" s="612"/>
      <c r="T39" s="612"/>
      <c r="U39" s="612"/>
      <c r="V39" s="612"/>
      <c r="W39" s="612"/>
      <c r="X39" s="612"/>
      <c r="Y39" s="612"/>
      <c r="Z39" s="612"/>
      <c r="AA39" s="612"/>
      <c r="AB39" s="612"/>
      <c r="AC39" s="612"/>
      <c r="AD39" s="612"/>
      <c r="AE39" s="612"/>
      <c r="AF39" s="612"/>
      <c r="AG39" s="612"/>
      <c r="AH39" s="612"/>
      <c r="AI39" s="613"/>
      <c r="AJ39" s="192"/>
      <c r="AK39" s="49"/>
    </row>
    <row r="40" spans="1:72" ht="9.9499999999999993" customHeight="1">
      <c r="A40" s="48"/>
      <c r="B40" s="192"/>
      <c r="C40" s="614"/>
      <c r="D40" s="615"/>
      <c r="E40" s="615"/>
      <c r="F40" s="615"/>
      <c r="G40" s="615"/>
      <c r="H40" s="615"/>
      <c r="I40" s="615"/>
      <c r="J40" s="615"/>
      <c r="K40" s="615"/>
      <c r="L40" s="615"/>
      <c r="M40" s="615"/>
      <c r="N40" s="615"/>
      <c r="O40" s="615"/>
      <c r="P40" s="615"/>
      <c r="Q40" s="615"/>
      <c r="R40" s="615"/>
      <c r="S40" s="615"/>
      <c r="T40" s="615"/>
      <c r="U40" s="615"/>
      <c r="V40" s="615"/>
      <c r="W40" s="615"/>
      <c r="X40" s="615"/>
      <c r="Y40" s="615"/>
      <c r="Z40" s="615"/>
      <c r="AA40" s="615"/>
      <c r="AB40" s="615"/>
      <c r="AC40" s="615"/>
      <c r="AD40" s="615"/>
      <c r="AE40" s="615"/>
      <c r="AF40" s="615"/>
      <c r="AG40" s="615"/>
      <c r="AH40" s="615"/>
      <c r="AI40" s="616"/>
      <c r="AJ40" s="192"/>
      <c r="AK40" s="49"/>
    </row>
    <row r="41" spans="1:72" ht="11.1" customHeight="1">
      <c r="A41" s="48"/>
      <c r="C41" s="665" t="s">
        <v>80</v>
      </c>
      <c r="D41" s="666"/>
      <c r="E41" s="666"/>
      <c r="F41" s="666"/>
      <c r="G41" s="666"/>
      <c r="H41" s="666"/>
      <c r="I41" s="666"/>
      <c r="J41" s="666"/>
      <c r="K41" s="666"/>
      <c r="L41" s="666"/>
      <c r="M41" s="666"/>
      <c r="N41" s="666"/>
      <c r="O41" s="666"/>
      <c r="P41" s="666"/>
      <c r="Q41" s="666"/>
      <c r="R41" s="666"/>
      <c r="S41" s="666"/>
      <c r="T41" s="666"/>
      <c r="U41" s="666"/>
      <c r="V41" s="666"/>
      <c r="W41" s="666"/>
      <c r="X41" s="666"/>
      <c r="Y41" s="666"/>
      <c r="Z41" s="666"/>
      <c r="AA41" s="666"/>
      <c r="AB41" s="666"/>
      <c r="AC41" s="666"/>
      <c r="AD41" s="666"/>
      <c r="AE41" s="666"/>
      <c r="AF41" s="666"/>
      <c r="AG41" s="666"/>
      <c r="AH41" s="666"/>
      <c r="AI41" s="667"/>
      <c r="AJ41" s="193"/>
      <c r="AK41" s="49"/>
    </row>
    <row r="42" spans="1:72" ht="12" customHeight="1">
      <c r="A42" s="48"/>
      <c r="B42" s="364"/>
      <c r="C42" s="363"/>
      <c r="D42" s="364"/>
      <c r="E42" s="364"/>
      <c r="F42" s="364"/>
      <c r="G42" s="364"/>
      <c r="H42" s="364"/>
      <c r="I42" s="364"/>
      <c r="J42" s="364"/>
      <c r="K42" s="364"/>
      <c r="L42" s="364"/>
      <c r="M42" s="364"/>
      <c r="N42" s="364"/>
      <c r="O42" s="364"/>
      <c r="P42" s="364"/>
      <c r="Q42" s="364"/>
      <c r="R42" s="364"/>
      <c r="S42" s="364"/>
      <c r="T42" s="364"/>
      <c r="U42" s="364"/>
      <c r="V42" s="364"/>
      <c r="W42" s="364"/>
      <c r="X42" s="364"/>
      <c r="Y42" s="364"/>
      <c r="Z42" s="364"/>
      <c r="AA42" s="364"/>
      <c r="AB42" s="364"/>
      <c r="AC42" s="364"/>
      <c r="AD42" s="364"/>
      <c r="AE42" s="364"/>
      <c r="AF42" s="364"/>
      <c r="AG42" s="364"/>
      <c r="AH42" s="364"/>
      <c r="AI42" s="365"/>
      <c r="AJ42" s="364"/>
      <c r="AK42" s="49"/>
    </row>
    <row r="43" spans="1:72" ht="12" customHeight="1">
      <c r="A43" s="48"/>
      <c r="B43" s="170"/>
      <c r="C43" s="196"/>
      <c r="D43" s="83"/>
      <c r="E43" s="84"/>
      <c r="F43" s="84"/>
      <c r="G43" s="84"/>
      <c r="H43" s="84"/>
      <c r="I43" s="84"/>
      <c r="J43" s="84"/>
      <c r="K43" s="84"/>
      <c r="L43" s="84"/>
      <c r="M43" s="84"/>
      <c r="N43" s="84"/>
      <c r="O43" s="84"/>
      <c r="P43" s="84"/>
      <c r="Q43" s="84"/>
      <c r="R43" s="84"/>
      <c r="S43" s="84"/>
      <c r="T43" s="84"/>
      <c r="U43" s="84"/>
      <c r="V43" s="84"/>
      <c r="W43" s="84"/>
      <c r="X43" s="84"/>
      <c r="Y43" s="84"/>
      <c r="Z43" s="84"/>
      <c r="AA43" s="84"/>
      <c r="AB43" s="84"/>
      <c r="AC43" s="84"/>
      <c r="AD43" s="84"/>
      <c r="AE43" s="84"/>
      <c r="AF43" s="84"/>
      <c r="AG43" s="84"/>
      <c r="AH43" s="84"/>
      <c r="AI43" s="197"/>
      <c r="AJ43" s="170"/>
      <c r="AK43" s="49"/>
      <c r="AO43" s="121"/>
      <c r="AP43" s="121"/>
      <c r="AW43" s="171"/>
      <c r="AX43" s="171"/>
      <c r="AY43" s="171"/>
      <c r="AZ43" s="171"/>
      <c r="BA43" s="171"/>
      <c r="BB43" s="171"/>
      <c r="BC43" s="171"/>
      <c r="BD43" s="171"/>
      <c r="BE43" s="171"/>
      <c r="BF43" s="171"/>
      <c r="BG43" s="171"/>
      <c r="BH43" s="171"/>
      <c r="BI43" s="171"/>
      <c r="BJ43" s="171"/>
      <c r="BK43" s="171"/>
      <c r="BL43" s="171"/>
      <c r="BM43" s="171"/>
      <c r="BN43" s="171"/>
      <c r="BO43" s="171"/>
      <c r="BP43" s="171"/>
      <c r="BQ43" s="171"/>
      <c r="BR43" s="171"/>
      <c r="BS43" s="171"/>
      <c r="BT43" s="171"/>
    </row>
    <row r="44" spans="1:72" ht="12" customHeight="1">
      <c r="A44" s="48"/>
      <c r="B44" s="170"/>
      <c r="C44" s="196"/>
      <c r="D44" s="83"/>
      <c r="E44" s="84"/>
      <c r="F44" s="84"/>
      <c r="G44" s="84"/>
      <c r="H44" s="84"/>
      <c r="I44" s="84"/>
      <c r="J44" s="84"/>
      <c r="K44" s="84"/>
      <c r="L44" s="84"/>
      <c r="M44" s="84"/>
      <c r="N44" s="84"/>
      <c r="O44" s="84"/>
      <c r="P44" s="84"/>
      <c r="Q44" s="84"/>
      <c r="R44" s="84"/>
      <c r="S44" s="84"/>
      <c r="T44" s="85"/>
      <c r="U44" s="85"/>
      <c r="V44" s="85"/>
      <c r="W44" s="85"/>
      <c r="X44" s="85"/>
      <c r="Y44" s="85"/>
      <c r="Z44" s="85"/>
      <c r="AA44" s="85"/>
      <c r="AB44" s="85"/>
      <c r="AC44" s="85"/>
      <c r="AD44" s="85"/>
      <c r="AE44" s="85"/>
      <c r="AF44" s="85"/>
      <c r="AG44" s="85"/>
      <c r="AH44" s="85"/>
      <c r="AI44" s="198"/>
      <c r="AJ44" s="170"/>
      <c r="AK44" s="49"/>
      <c r="AW44" s="171"/>
      <c r="AX44" s="171"/>
      <c r="AY44" s="171"/>
      <c r="AZ44" s="171"/>
      <c r="BA44" s="171"/>
      <c r="BB44" s="171"/>
      <c r="BC44" s="171"/>
      <c r="BD44" s="171"/>
      <c r="BE44" s="53"/>
      <c r="BF44" s="53"/>
      <c r="BG44" s="53"/>
      <c r="BH44" s="53"/>
      <c r="BI44" s="53"/>
      <c r="BJ44" s="53"/>
      <c r="BK44" s="53"/>
      <c r="BL44" s="53"/>
      <c r="BM44" s="53"/>
      <c r="BN44" s="53"/>
      <c r="BO44" s="53"/>
      <c r="BP44" s="53"/>
      <c r="BQ44" s="53"/>
      <c r="BR44" s="53"/>
      <c r="BS44" s="53"/>
      <c r="BT44" s="53"/>
    </row>
    <row r="45" spans="1:72" ht="12" customHeight="1">
      <c r="A45" s="48"/>
      <c r="B45" s="170"/>
      <c r="C45" s="196"/>
      <c r="D45" s="83"/>
      <c r="E45" s="84"/>
      <c r="F45" s="84"/>
      <c r="G45" s="84"/>
      <c r="H45" s="84"/>
      <c r="I45" s="84"/>
      <c r="J45" s="84"/>
      <c r="K45" s="84"/>
      <c r="L45" s="84"/>
      <c r="M45" s="84"/>
      <c r="N45" s="84"/>
      <c r="O45" s="84"/>
      <c r="P45" s="84"/>
      <c r="Q45" s="84"/>
      <c r="R45" s="84"/>
      <c r="S45" s="84"/>
      <c r="T45" s="85"/>
      <c r="U45" s="85"/>
      <c r="V45" s="85"/>
      <c r="W45" s="85"/>
      <c r="X45" s="85"/>
      <c r="Y45" s="85"/>
      <c r="Z45" s="85"/>
      <c r="AA45" s="85"/>
      <c r="AB45" s="85"/>
      <c r="AC45" s="85"/>
      <c r="AD45" s="85"/>
      <c r="AE45" s="85"/>
      <c r="AF45" s="85"/>
      <c r="AG45" s="85"/>
      <c r="AH45" s="85"/>
      <c r="AI45" s="198"/>
      <c r="AJ45" s="170"/>
      <c r="AK45" s="49"/>
      <c r="AN45" s="390"/>
      <c r="AO45" s="128"/>
      <c r="AP45" s="128"/>
      <c r="AQ45" s="45"/>
      <c r="AW45" s="44"/>
      <c r="AX45" s="44"/>
      <c r="AY45" s="44"/>
      <c r="AZ45" s="44"/>
      <c r="BA45" s="44"/>
      <c r="BB45" s="44"/>
      <c r="BC45" s="44"/>
      <c r="BD45" s="44"/>
      <c r="BE45" s="44"/>
      <c r="BF45" s="44"/>
      <c r="BG45" s="44"/>
      <c r="BH45" s="44"/>
      <c r="BI45" s="44"/>
      <c r="BJ45" s="44"/>
      <c r="BK45" s="44"/>
      <c r="BL45" s="44"/>
      <c r="BM45" s="44"/>
      <c r="BN45" s="44"/>
      <c r="BO45" s="44"/>
      <c r="BP45" s="44"/>
      <c r="BQ45" s="44"/>
      <c r="BR45" s="44"/>
      <c r="BS45" s="44"/>
      <c r="BT45" s="44"/>
    </row>
    <row r="46" spans="1:72" ht="12" customHeight="1">
      <c r="A46" s="48"/>
      <c r="B46" s="170"/>
      <c r="C46" s="196"/>
      <c r="D46" s="83"/>
      <c r="E46" s="84"/>
      <c r="F46" s="84"/>
      <c r="G46" s="84"/>
      <c r="H46" s="84"/>
      <c r="I46" s="84"/>
      <c r="J46" s="84"/>
      <c r="K46" s="84"/>
      <c r="L46" s="86"/>
      <c r="M46" s="86"/>
      <c r="N46" s="86"/>
      <c r="O46" s="86"/>
      <c r="P46" s="84"/>
      <c r="Q46" s="84"/>
      <c r="R46" s="84"/>
      <c r="S46" s="84"/>
      <c r="T46" s="85"/>
      <c r="U46" s="85"/>
      <c r="V46" s="85"/>
      <c r="W46" s="85"/>
      <c r="X46" s="85"/>
      <c r="Y46" s="85"/>
      <c r="Z46" s="85"/>
      <c r="AA46" s="85"/>
      <c r="AB46" s="85"/>
      <c r="AC46" s="85"/>
      <c r="AD46" s="85"/>
      <c r="AE46" s="85"/>
      <c r="AF46" s="85"/>
      <c r="AG46" s="85"/>
      <c r="AH46" s="85"/>
      <c r="AI46" s="198"/>
      <c r="AJ46" s="170"/>
      <c r="AK46" s="49"/>
      <c r="AN46" s="392"/>
      <c r="AP46" s="44"/>
      <c r="AW46" s="44"/>
      <c r="AX46" s="44"/>
      <c r="AY46" s="44"/>
      <c r="AZ46" s="44"/>
      <c r="BA46" s="44"/>
      <c r="BB46" s="44"/>
      <c r="BC46" s="44"/>
      <c r="BD46" s="44"/>
      <c r="BE46" s="44"/>
      <c r="BF46" s="44"/>
      <c r="BG46" s="44"/>
      <c r="BH46" s="44"/>
      <c r="BI46" s="44"/>
      <c r="BJ46" s="44"/>
      <c r="BK46" s="44"/>
      <c r="BL46" s="44"/>
      <c r="BM46" s="44"/>
      <c r="BN46" s="44"/>
      <c r="BO46" s="44"/>
      <c r="BP46" s="44"/>
      <c r="BQ46" s="44"/>
      <c r="BR46" s="44"/>
      <c r="BS46" s="44"/>
      <c r="BT46" s="44"/>
    </row>
    <row r="47" spans="1:72" ht="12" customHeight="1">
      <c r="A47" s="48"/>
      <c r="B47" s="170"/>
      <c r="C47" s="196"/>
      <c r="D47" s="83"/>
      <c r="E47" s="84"/>
      <c r="F47" s="84"/>
      <c r="G47" s="84"/>
      <c r="H47" s="84"/>
      <c r="I47" s="84"/>
      <c r="J47" s="84"/>
      <c r="K47" s="84"/>
      <c r="L47" s="87"/>
      <c r="M47" s="87"/>
      <c r="N47" s="87"/>
      <c r="O47" s="87"/>
      <c r="P47" s="87"/>
      <c r="Q47" s="87"/>
      <c r="R47" s="87"/>
      <c r="S47" s="87"/>
      <c r="T47" s="85"/>
      <c r="U47" s="85"/>
      <c r="V47" s="85"/>
      <c r="W47" s="85"/>
      <c r="X47" s="85"/>
      <c r="Y47" s="85"/>
      <c r="Z47" s="85"/>
      <c r="AA47" s="85"/>
      <c r="AB47" s="85"/>
      <c r="AC47" s="85"/>
      <c r="AD47" s="85"/>
      <c r="AE47" s="85"/>
      <c r="AF47" s="85"/>
      <c r="AG47" s="85"/>
      <c r="AH47" s="85"/>
      <c r="AI47" s="198"/>
      <c r="AJ47" s="170"/>
      <c r="AK47" s="49"/>
      <c r="AN47" s="392"/>
    </row>
    <row r="48" spans="1:72" ht="12" customHeight="1">
      <c r="A48" s="48"/>
      <c r="B48" s="45"/>
      <c r="C48" s="199"/>
      <c r="D48" s="88"/>
      <c r="E48" s="89"/>
      <c r="F48" s="89"/>
      <c r="G48" s="89"/>
      <c r="H48" s="89"/>
      <c r="I48" s="89"/>
      <c r="J48" s="89"/>
      <c r="K48" s="89"/>
      <c r="L48" s="90"/>
      <c r="M48" s="90"/>
      <c r="N48" s="90"/>
      <c r="O48" s="90"/>
      <c r="P48" s="90"/>
      <c r="Q48" s="90"/>
      <c r="R48" s="90"/>
      <c r="S48" s="90"/>
      <c r="T48" s="91"/>
      <c r="U48" s="91"/>
      <c r="V48" s="91"/>
      <c r="W48" s="91"/>
      <c r="X48" s="91"/>
      <c r="Y48" s="91"/>
      <c r="Z48" s="91"/>
      <c r="AA48" s="91"/>
      <c r="AB48" s="91"/>
      <c r="AC48" s="91"/>
      <c r="AD48" s="91"/>
      <c r="AE48" s="91"/>
      <c r="AF48" s="91"/>
      <c r="AG48" s="91"/>
      <c r="AH48" s="91"/>
      <c r="AI48" s="200"/>
      <c r="AJ48" s="45"/>
      <c r="AK48" s="49"/>
      <c r="AN48" s="393"/>
      <c r="AO48" s="116"/>
      <c r="AP48" s="116"/>
    </row>
    <row r="49" spans="1:45" ht="12" customHeight="1">
      <c r="A49" s="48"/>
      <c r="B49" s="45"/>
      <c r="C49" s="199"/>
      <c r="D49" s="88"/>
      <c r="E49" s="89"/>
      <c r="F49" s="89"/>
      <c r="G49" s="89"/>
      <c r="H49" s="89"/>
      <c r="I49" s="89"/>
      <c r="J49" s="89"/>
      <c r="K49" s="89"/>
      <c r="L49" s="90"/>
      <c r="M49" s="90"/>
      <c r="N49" s="90"/>
      <c r="O49" s="90"/>
      <c r="P49" s="90"/>
      <c r="Q49" s="90"/>
      <c r="R49" s="90"/>
      <c r="S49" s="90"/>
      <c r="T49" s="91"/>
      <c r="U49" s="91"/>
      <c r="V49" s="91"/>
      <c r="W49" s="91"/>
      <c r="X49" s="91"/>
      <c r="Y49" s="91"/>
      <c r="Z49" s="91"/>
      <c r="AA49" s="91"/>
      <c r="AB49" s="91"/>
      <c r="AC49" s="91"/>
      <c r="AD49" s="91"/>
      <c r="AE49" s="91"/>
      <c r="AF49" s="91"/>
      <c r="AG49" s="91"/>
      <c r="AH49" s="91"/>
      <c r="AI49" s="200"/>
      <c r="AJ49" s="45"/>
      <c r="AK49" s="49"/>
      <c r="AN49" s="391"/>
      <c r="AO49" s="74"/>
    </row>
    <row r="50" spans="1:45" ht="12" customHeight="1">
      <c r="A50" s="48"/>
      <c r="B50" s="45"/>
      <c r="C50" s="199"/>
      <c r="D50" s="88"/>
      <c r="E50" s="89"/>
      <c r="F50" s="89"/>
      <c r="G50" s="89"/>
      <c r="H50" s="89"/>
      <c r="I50" s="89"/>
      <c r="J50" s="89"/>
      <c r="K50" s="89"/>
      <c r="L50" s="90"/>
      <c r="M50" s="90"/>
      <c r="N50" s="90"/>
      <c r="O50" s="90"/>
      <c r="P50" s="90"/>
      <c r="Q50" s="90"/>
      <c r="R50" s="90"/>
      <c r="S50" s="90"/>
      <c r="T50" s="91"/>
      <c r="U50" s="91"/>
      <c r="V50" s="91"/>
      <c r="W50" s="91"/>
      <c r="X50" s="91"/>
      <c r="Y50" s="91"/>
      <c r="Z50" s="91"/>
      <c r="AA50" s="91"/>
      <c r="AB50" s="91"/>
      <c r="AC50" s="91"/>
      <c r="AD50" s="91"/>
      <c r="AE50" s="91"/>
      <c r="AF50" s="91"/>
      <c r="AG50" s="91"/>
      <c r="AH50" s="91"/>
      <c r="AI50" s="200"/>
      <c r="AJ50" s="45"/>
      <c r="AK50" s="49"/>
      <c r="AN50" s="394"/>
      <c r="AO50" s="74"/>
    </row>
    <row r="51" spans="1:45" ht="12" customHeight="1">
      <c r="A51" s="48"/>
      <c r="B51" s="45"/>
      <c r="C51" s="196"/>
      <c r="D51" s="83"/>
      <c r="E51" s="84"/>
      <c r="F51" s="84"/>
      <c r="G51" s="84"/>
      <c r="H51" s="84"/>
      <c r="I51" s="84"/>
      <c r="J51" s="84"/>
      <c r="K51" s="84"/>
      <c r="L51" s="84"/>
      <c r="M51" s="84"/>
      <c r="N51" s="84"/>
      <c r="O51" s="84"/>
      <c r="P51" s="84"/>
      <c r="Q51" s="84"/>
      <c r="R51" s="84"/>
      <c r="S51" s="84"/>
      <c r="T51" s="85"/>
      <c r="U51" s="85"/>
      <c r="V51" s="85"/>
      <c r="W51" s="85"/>
      <c r="X51" s="85"/>
      <c r="Y51" s="85"/>
      <c r="Z51" s="85"/>
      <c r="AA51" s="85"/>
      <c r="AB51" s="85"/>
      <c r="AC51" s="85"/>
      <c r="AD51" s="85"/>
      <c r="AE51" s="85"/>
      <c r="AF51" s="85"/>
      <c r="AG51" s="85"/>
      <c r="AH51" s="85"/>
      <c r="AI51" s="198"/>
      <c r="AJ51" s="45"/>
      <c r="AK51" s="49"/>
      <c r="AN51" s="390"/>
    </row>
    <row r="52" spans="1:45" ht="12" customHeight="1">
      <c r="A52" s="48"/>
      <c r="B52" s="45"/>
      <c r="C52" s="196"/>
      <c r="D52" s="83"/>
      <c r="E52" s="84"/>
      <c r="F52" s="84"/>
      <c r="G52" s="84"/>
      <c r="H52" s="84"/>
      <c r="I52" s="84"/>
      <c r="J52" s="84"/>
      <c r="K52" s="84"/>
      <c r="L52" s="86"/>
      <c r="M52" s="86"/>
      <c r="N52" s="86"/>
      <c r="O52" s="86"/>
      <c r="P52" s="84"/>
      <c r="Q52" s="84"/>
      <c r="R52" s="84"/>
      <c r="S52" s="84"/>
      <c r="T52" s="85"/>
      <c r="U52" s="85"/>
      <c r="V52" s="85"/>
      <c r="W52" s="85"/>
      <c r="X52" s="85"/>
      <c r="Y52" s="85"/>
      <c r="Z52" s="85"/>
      <c r="AA52" s="85"/>
      <c r="AB52" s="85"/>
      <c r="AC52" s="85"/>
      <c r="AD52" s="85"/>
      <c r="AE52" s="85"/>
      <c r="AF52" s="85"/>
      <c r="AG52" s="85"/>
      <c r="AH52" s="85"/>
      <c r="AI52" s="198"/>
      <c r="AJ52" s="45"/>
      <c r="AK52" s="49"/>
      <c r="AN52" s="390"/>
    </row>
    <row r="53" spans="1:45" ht="12" customHeight="1">
      <c r="A53" s="48"/>
      <c r="B53" s="45"/>
      <c r="C53" s="196"/>
      <c r="D53" s="83"/>
      <c r="E53" s="84"/>
      <c r="F53" s="84"/>
      <c r="G53" s="84"/>
      <c r="H53" s="84"/>
      <c r="I53" s="84"/>
      <c r="J53" s="84"/>
      <c r="K53" s="84"/>
      <c r="L53" s="87"/>
      <c r="M53" s="87"/>
      <c r="N53" s="87"/>
      <c r="O53" s="87"/>
      <c r="P53" s="87"/>
      <c r="Q53" s="87"/>
      <c r="R53" s="87"/>
      <c r="S53" s="87"/>
      <c r="T53" s="85"/>
      <c r="U53" s="85"/>
      <c r="V53" s="85"/>
      <c r="W53" s="85"/>
      <c r="X53" s="85"/>
      <c r="Y53" s="85"/>
      <c r="Z53" s="85"/>
      <c r="AA53" s="85"/>
      <c r="AB53" s="85"/>
      <c r="AC53" s="85"/>
      <c r="AD53" s="85"/>
      <c r="AE53" s="85"/>
      <c r="AF53" s="85"/>
      <c r="AG53" s="85"/>
      <c r="AH53" s="85"/>
      <c r="AI53" s="198"/>
      <c r="AJ53" s="45"/>
      <c r="AK53" s="49"/>
      <c r="AN53" s="390"/>
    </row>
    <row r="54" spans="1:45" ht="12" customHeight="1">
      <c r="A54" s="48"/>
      <c r="B54" s="45"/>
      <c r="C54" s="199"/>
      <c r="D54" s="88"/>
      <c r="E54" s="89"/>
      <c r="F54" s="89"/>
      <c r="G54" s="89"/>
      <c r="H54" s="89"/>
      <c r="I54" s="89"/>
      <c r="J54" s="89"/>
      <c r="K54" s="89"/>
      <c r="L54" s="90"/>
      <c r="M54" s="90"/>
      <c r="N54" s="90"/>
      <c r="O54" s="90"/>
      <c r="P54" s="90"/>
      <c r="Q54" s="90"/>
      <c r="R54" s="90"/>
      <c r="S54" s="90"/>
      <c r="T54" s="91"/>
      <c r="U54" s="91"/>
      <c r="V54" s="91"/>
      <c r="W54" s="91"/>
      <c r="X54" s="91"/>
      <c r="Y54" s="91"/>
      <c r="Z54" s="91"/>
      <c r="AA54" s="91"/>
      <c r="AB54" s="91"/>
      <c r="AC54" s="91"/>
      <c r="AD54" s="91"/>
      <c r="AE54" s="91"/>
      <c r="AF54" s="91"/>
      <c r="AG54" s="91"/>
      <c r="AH54" s="91"/>
      <c r="AI54" s="200"/>
      <c r="AJ54" s="45"/>
      <c r="AK54" s="49"/>
      <c r="AN54" s="73"/>
      <c r="AO54" s="74"/>
    </row>
    <row r="55" spans="1:45" ht="12" customHeight="1">
      <c r="A55" s="48"/>
      <c r="B55" s="45"/>
      <c r="C55" s="199"/>
      <c r="D55" s="88"/>
      <c r="E55" s="89"/>
      <c r="F55" s="89"/>
      <c r="G55" s="89"/>
      <c r="H55" s="89"/>
      <c r="I55" s="89"/>
      <c r="J55" s="89"/>
      <c r="K55" s="89"/>
      <c r="L55" s="90"/>
      <c r="M55" s="90"/>
      <c r="N55" s="90"/>
      <c r="O55" s="90"/>
      <c r="P55" s="90"/>
      <c r="Q55" s="90"/>
      <c r="R55" s="90"/>
      <c r="S55" s="90"/>
      <c r="T55" s="91"/>
      <c r="U55" s="91"/>
      <c r="V55" s="91"/>
      <c r="W55" s="91"/>
      <c r="X55" s="91"/>
      <c r="Y55" s="91"/>
      <c r="Z55" s="91"/>
      <c r="AA55" s="91"/>
      <c r="AB55" s="91"/>
      <c r="AC55" s="91"/>
      <c r="AD55" s="91"/>
      <c r="AE55" s="91"/>
      <c r="AF55" s="91"/>
      <c r="AG55" s="91"/>
      <c r="AH55" s="91"/>
      <c r="AI55" s="200"/>
      <c r="AJ55" s="45"/>
      <c r="AK55" s="49"/>
      <c r="AN55" s="74"/>
      <c r="AO55" s="74"/>
    </row>
    <row r="56" spans="1:45" ht="12" customHeight="1">
      <c r="A56" s="48"/>
      <c r="B56" s="45"/>
      <c r="C56" s="199"/>
      <c r="D56" s="88"/>
      <c r="E56" s="89"/>
      <c r="F56" s="89"/>
      <c r="G56" s="89"/>
      <c r="H56" s="89"/>
      <c r="I56" s="89"/>
      <c r="J56" s="89"/>
      <c r="K56" s="89"/>
      <c r="L56" s="90"/>
      <c r="M56" s="90"/>
      <c r="N56" s="90"/>
      <c r="O56" s="90"/>
      <c r="P56" s="90"/>
      <c r="Q56" s="90"/>
      <c r="R56" s="90"/>
      <c r="S56" s="90"/>
      <c r="T56" s="91"/>
      <c r="U56" s="91"/>
      <c r="V56" s="91"/>
      <c r="W56" s="91"/>
      <c r="X56" s="91"/>
      <c r="Y56" s="91"/>
      <c r="Z56" s="91"/>
      <c r="AA56" s="91"/>
      <c r="AB56" s="91"/>
      <c r="AC56" s="91"/>
      <c r="AD56" s="91"/>
      <c r="AE56" s="91"/>
      <c r="AF56" s="91"/>
      <c r="AG56" s="91"/>
      <c r="AH56" s="91"/>
      <c r="AI56" s="200"/>
      <c r="AJ56" s="45"/>
      <c r="AK56" s="49"/>
      <c r="AN56" s="73"/>
      <c r="AO56" s="74"/>
    </row>
    <row r="57" spans="1:45" ht="12" customHeight="1" thickBot="1">
      <c r="A57" s="48"/>
      <c r="B57" s="45"/>
      <c r="C57" s="201"/>
      <c r="D57" s="202"/>
      <c r="E57" s="203"/>
      <c r="F57" s="203"/>
      <c r="G57" s="203"/>
      <c r="H57" s="203"/>
      <c r="I57" s="203"/>
      <c r="J57" s="203"/>
      <c r="K57" s="203"/>
      <c r="L57" s="204"/>
      <c r="M57" s="204"/>
      <c r="N57" s="204"/>
      <c r="O57" s="204"/>
      <c r="P57" s="204"/>
      <c r="Q57" s="204"/>
      <c r="R57" s="204"/>
      <c r="S57" s="204"/>
      <c r="T57" s="165"/>
      <c r="U57" s="165"/>
      <c r="V57" s="165"/>
      <c r="W57" s="165"/>
      <c r="X57" s="165"/>
      <c r="Y57" s="165"/>
      <c r="Z57" s="165"/>
      <c r="AA57" s="165"/>
      <c r="AB57" s="165"/>
      <c r="AC57" s="165"/>
      <c r="AD57" s="165"/>
      <c r="AE57" s="165"/>
      <c r="AF57" s="165"/>
      <c r="AG57" s="165"/>
      <c r="AH57" s="165"/>
      <c r="AI57" s="205"/>
      <c r="AJ57" s="45"/>
      <c r="AK57" s="49"/>
      <c r="AN57" s="74"/>
      <c r="AO57" s="74"/>
    </row>
    <row r="58" spans="1:45" ht="11.1" customHeight="1">
      <c r="A58" s="48"/>
      <c r="B58" s="45"/>
      <c r="C58" s="63"/>
      <c r="D58" s="83"/>
      <c r="E58" s="84"/>
      <c r="F58" s="399"/>
      <c r="G58" s="400" t="s">
        <v>81</v>
      </c>
      <c r="H58" s="141" t="s">
        <v>114</v>
      </c>
      <c r="I58" s="84"/>
      <c r="J58" s="84"/>
      <c r="K58" s="84"/>
      <c r="L58" s="84"/>
      <c r="M58" s="84"/>
      <c r="N58" s="84"/>
      <c r="O58" s="84"/>
      <c r="P58" s="84"/>
      <c r="Q58" s="84"/>
      <c r="R58" s="84"/>
      <c r="S58" s="84"/>
      <c r="T58" s="85"/>
      <c r="U58" s="85"/>
      <c r="V58" s="85"/>
      <c r="W58" s="85"/>
      <c r="X58" s="85"/>
      <c r="Y58" s="85"/>
      <c r="Z58" s="85"/>
      <c r="AA58" s="85"/>
      <c r="AB58" s="85"/>
      <c r="AC58" s="85"/>
      <c r="AD58" s="85"/>
      <c r="AE58" s="85"/>
      <c r="AF58" s="85"/>
      <c r="AG58" s="85"/>
      <c r="AH58" s="85"/>
      <c r="AI58" s="85"/>
      <c r="AJ58" s="45"/>
      <c r="AK58" s="49"/>
    </row>
    <row r="59" spans="1:45" ht="11.1" customHeight="1">
      <c r="A59" s="48"/>
      <c r="B59" s="45"/>
      <c r="C59" s="63"/>
      <c r="D59" s="83"/>
      <c r="E59" s="84"/>
      <c r="F59" s="84"/>
      <c r="H59" s="401" t="s">
        <v>115</v>
      </c>
      <c r="I59" s="84"/>
      <c r="J59" s="84"/>
      <c r="K59" s="84"/>
      <c r="L59" s="86"/>
      <c r="M59" s="86"/>
      <c r="N59" s="86"/>
      <c r="O59" s="86"/>
      <c r="P59" s="84"/>
      <c r="Q59" s="84"/>
      <c r="R59" s="84"/>
      <c r="S59" s="84"/>
      <c r="T59" s="85"/>
      <c r="U59" s="85"/>
      <c r="V59" s="85"/>
      <c r="W59" s="85"/>
      <c r="X59" s="85"/>
      <c r="Y59" s="85"/>
      <c r="Z59" s="85"/>
      <c r="AA59" s="85"/>
      <c r="AB59" s="85"/>
      <c r="AC59" s="85"/>
      <c r="AD59" s="85"/>
      <c r="AE59" s="85"/>
      <c r="AF59" s="85"/>
      <c r="AG59" s="85"/>
      <c r="AH59" s="85"/>
      <c r="AI59" s="85"/>
      <c r="AJ59" s="45"/>
      <c r="AK59" s="49"/>
    </row>
    <row r="60" spans="1:45" ht="6" customHeight="1" thickBot="1">
      <c r="A60" s="48"/>
      <c r="B60" s="45"/>
      <c r="C60" s="63"/>
      <c r="D60" s="83"/>
      <c r="E60" s="84"/>
      <c r="F60" s="84"/>
      <c r="G60" s="84"/>
      <c r="I60" s="84"/>
      <c r="J60" s="84"/>
      <c r="K60" s="84"/>
      <c r="L60" s="87"/>
      <c r="M60" s="87"/>
      <c r="N60" s="87"/>
      <c r="O60" s="87"/>
      <c r="P60" s="87"/>
      <c r="Q60" s="87"/>
      <c r="R60" s="87"/>
      <c r="S60" s="87"/>
      <c r="T60" s="85"/>
      <c r="U60" s="85"/>
      <c r="V60" s="85"/>
      <c r="W60" s="85"/>
      <c r="X60" s="85"/>
      <c r="Y60" s="85"/>
      <c r="Z60" s="85"/>
      <c r="AA60" s="85"/>
      <c r="AB60" s="85"/>
      <c r="AC60" s="85"/>
      <c r="AD60" s="85"/>
      <c r="AE60" s="85"/>
      <c r="AF60" s="85"/>
      <c r="AG60" s="85"/>
      <c r="AH60" s="85"/>
      <c r="AI60" s="85"/>
      <c r="AJ60" s="45"/>
      <c r="AK60" s="49"/>
    </row>
    <row r="61" spans="1:45" ht="12.95" customHeight="1" thickTop="1" thickBot="1">
      <c r="A61" s="48"/>
      <c r="B61" s="45"/>
      <c r="C61" s="709" t="s">
        <v>127</v>
      </c>
      <c r="D61" s="710"/>
      <c r="E61" s="711"/>
      <c r="F61" s="700" t="s">
        <v>126</v>
      </c>
      <c r="G61" s="701"/>
      <c r="H61" s="701"/>
      <c r="I61" s="701"/>
      <c r="J61" s="701"/>
      <c r="K61" s="701"/>
      <c r="L61" s="701"/>
      <c r="M61" s="701"/>
      <c r="N61" s="701"/>
      <c r="O61" s="702"/>
      <c r="P61" s="700" t="s">
        <v>125</v>
      </c>
      <c r="Q61" s="701"/>
      <c r="R61" s="701"/>
      <c r="S61" s="701"/>
      <c r="T61" s="701"/>
      <c r="U61" s="701"/>
      <c r="V61" s="701"/>
      <c r="W61" s="701"/>
      <c r="X61" s="701"/>
      <c r="Y61" s="702"/>
      <c r="Z61" s="694" t="s">
        <v>103</v>
      </c>
      <c r="AA61" s="695"/>
      <c r="AB61" s="695"/>
      <c r="AC61" s="695"/>
      <c r="AD61" s="695"/>
      <c r="AE61" s="695"/>
      <c r="AF61" s="695"/>
      <c r="AG61" s="695"/>
      <c r="AH61" s="695"/>
      <c r="AI61" s="696"/>
      <c r="AJ61" s="45"/>
      <c r="AK61" s="49"/>
    </row>
    <row r="62" spans="1:45" ht="12" customHeight="1" thickBot="1">
      <c r="A62" s="48"/>
      <c r="B62" s="45"/>
      <c r="C62" s="712"/>
      <c r="D62" s="713"/>
      <c r="E62" s="714"/>
      <c r="F62" s="703"/>
      <c r="G62" s="704"/>
      <c r="H62" s="704"/>
      <c r="I62" s="704"/>
      <c r="J62" s="704"/>
      <c r="K62" s="704"/>
      <c r="L62" s="704"/>
      <c r="M62" s="704"/>
      <c r="N62" s="704"/>
      <c r="O62" s="705"/>
      <c r="P62" s="703"/>
      <c r="Q62" s="704"/>
      <c r="R62" s="704"/>
      <c r="S62" s="704"/>
      <c r="T62" s="704"/>
      <c r="U62" s="704"/>
      <c r="V62" s="704"/>
      <c r="W62" s="704"/>
      <c r="X62" s="704"/>
      <c r="Y62" s="705"/>
      <c r="Z62" s="697" t="s">
        <v>104</v>
      </c>
      <c r="AA62" s="698"/>
      <c r="AB62" s="698"/>
      <c r="AC62" s="698"/>
      <c r="AD62" s="698"/>
      <c r="AE62" s="698"/>
      <c r="AF62" s="698"/>
      <c r="AG62" s="698"/>
      <c r="AH62" s="698"/>
      <c r="AI62" s="699"/>
      <c r="AJ62" s="45"/>
      <c r="AK62" s="49"/>
    </row>
    <row r="63" spans="1:45" ht="12" customHeight="1" thickBot="1">
      <c r="A63" s="48"/>
      <c r="B63" s="45"/>
      <c r="C63" s="712"/>
      <c r="D63" s="713"/>
      <c r="E63" s="714"/>
      <c r="F63" s="706"/>
      <c r="G63" s="707"/>
      <c r="H63" s="707"/>
      <c r="I63" s="707"/>
      <c r="J63" s="707"/>
      <c r="K63" s="707"/>
      <c r="L63" s="707"/>
      <c r="M63" s="707"/>
      <c r="N63" s="707"/>
      <c r="O63" s="708"/>
      <c r="P63" s="706"/>
      <c r="Q63" s="707"/>
      <c r="R63" s="707"/>
      <c r="S63" s="707"/>
      <c r="T63" s="707"/>
      <c r="U63" s="707"/>
      <c r="V63" s="707"/>
      <c r="W63" s="707"/>
      <c r="X63" s="707"/>
      <c r="Y63" s="708"/>
      <c r="Z63" s="434"/>
      <c r="AA63" s="676" t="s">
        <v>105</v>
      </c>
      <c r="AB63" s="677"/>
      <c r="AC63" s="677"/>
      <c r="AD63" s="678"/>
      <c r="AE63" s="166" t="str">
        <f>IF(AP6=0,"",IF(Z63="X","","X"))</f>
        <v/>
      </c>
      <c r="AF63" s="728" t="s">
        <v>106</v>
      </c>
      <c r="AG63" s="677"/>
      <c r="AH63" s="677"/>
      <c r="AI63" s="729"/>
      <c r="AJ63" s="45"/>
      <c r="AK63" s="49"/>
      <c r="AQ63" s="168" t="s">
        <v>110</v>
      </c>
      <c r="AR63" s="168" t="s">
        <v>111</v>
      </c>
      <c r="AS63" s="168" t="s">
        <v>112</v>
      </c>
    </row>
    <row r="64" spans="1:45" ht="12" customHeight="1">
      <c r="A64" s="48"/>
      <c r="B64" s="45"/>
      <c r="C64" s="712"/>
      <c r="D64" s="713"/>
      <c r="E64" s="714"/>
      <c r="F64" s="735" t="s">
        <v>224</v>
      </c>
      <c r="G64" s="736"/>
      <c r="H64" s="736"/>
      <c r="I64" s="736"/>
      <c r="J64" s="736"/>
      <c r="K64" s="736"/>
      <c r="L64" s="681">
        <v>1</v>
      </c>
      <c r="M64" s="679"/>
      <c r="N64" s="679">
        <v>2</v>
      </c>
      <c r="O64" s="680"/>
      <c r="P64" s="730" t="s">
        <v>124</v>
      </c>
      <c r="Q64" s="731"/>
      <c r="R64" s="731"/>
      <c r="S64" s="731"/>
      <c r="T64" s="731"/>
      <c r="U64" s="731"/>
      <c r="V64" s="681">
        <v>1</v>
      </c>
      <c r="W64" s="679"/>
      <c r="X64" s="679">
        <v>2</v>
      </c>
      <c r="Y64" s="680"/>
      <c r="Z64" s="730" t="s">
        <v>107</v>
      </c>
      <c r="AA64" s="731"/>
      <c r="AB64" s="731"/>
      <c r="AC64" s="731"/>
      <c r="AD64" s="731"/>
      <c r="AE64" s="731"/>
      <c r="AF64" s="681">
        <v>3</v>
      </c>
      <c r="AG64" s="679"/>
      <c r="AH64" s="679">
        <v>4</v>
      </c>
      <c r="AI64" s="680"/>
      <c r="AJ64" s="45"/>
      <c r="AK64" s="49"/>
      <c r="AN64" s="18"/>
      <c r="AQ64" s="278">
        <f>'Warrant 1'!W10</f>
        <v>0</v>
      </c>
      <c r="AR64" s="167"/>
      <c r="AS64" s="278">
        <f>IF(Z63="X",3,4)</f>
        <v>4</v>
      </c>
    </row>
    <row r="65" spans="1:45" ht="12" customHeight="1">
      <c r="A65" s="48"/>
      <c r="B65" s="45"/>
      <c r="C65" s="712"/>
      <c r="D65" s="713"/>
      <c r="E65" s="714"/>
      <c r="F65" s="737" t="s">
        <v>225</v>
      </c>
      <c r="G65" s="738"/>
      <c r="H65" s="738"/>
      <c r="I65" s="738"/>
      <c r="J65" s="738"/>
      <c r="K65" s="738"/>
      <c r="L65" s="668">
        <v>4</v>
      </c>
      <c r="M65" s="669"/>
      <c r="N65" s="669">
        <v>5</v>
      </c>
      <c r="O65" s="670"/>
      <c r="P65" s="739" t="s">
        <v>108</v>
      </c>
      <c r="Q65" s="740"/>
      <c r="R65" s="740"/>
      <c r="S65" s="740"/>
      <c r="T65" s="740"/>
      <c r="U65" s="740"/>
      <c r="V65" s="682">
        <v>100</v>
      </c>
      <c r="W65" s="683"/>
      <c r="X65" s="683">
        <v>150</v>
      </c>
      <c r="Y65" s="684"/>
      <c r="Z65" s="739" t="s">
        <v>108</v>
      </c>
      <c r="AA65" s="740"/>
      <c r="AB65" s="740"/>
      <c r="AC65" s="740"/>
      <c r="AD65" s="740"/>
      <c r="AE65" s="740"/>
      <c r="AF65" s="682">
        <v>650</v>
      </c>
      <c r="AG65" s="683"/>
      <c r="AH65" s="683">
        <v>800</v>
      </c>
      <c r="AI65" s="684"/>
      <c r="AJ65" s="45"/>
      <c r="AK65" s="49"/>
      <c r="AN65" s="18">
        <f>AQ65*AR65*AS65</f>
        <v>0</v>
      </c>
      <c r="AQ65" s="278">
        <f>IF(AQ64=1,IF(L66&gt;=4,1,0),IF(N66&gt;=5,1,0))</f>
        <v>0</v>
      </c>
      <c r="AR65" s="278">
        <f>IF(AQ64=1,IF(V66&gt;=100,1,0),IF(X66&gt;=150,1,0))</f>
        <v>0</v>
      </c>
      <c r="AS65" s="278">
        <f>IF(AS64=3,IF(AF66&gt;=100,1,0),IF(AH66&gt;=150,1,0))</f>
        <v>0</v>
      </c>
    </row>
    <row r="66" spans="1:45" ht="12" customHeight="1" thickBot="1">
      <c r="A66" s="48"/>
      <c r="B66" s="45"/>
      <c r="C66" s="712"/>
      <c r="D66" s="713"/>
      <c r="E66" s="714"/>
      <c r="F66" s="671" t="s">
        <v>226</v>
      </c>
      <c r="G66" s="672"/>
      <c r="H66" s="672"/>
      <c r="I66" s="672"/>
      <c r="J66" s="672"/>
      <c r="K66" s="672"/>
      <c r="L66" s="673"/>
      <c r="M66" s="674"/>
      <c r="N66" s="674"/>
      <c r="O66" s="675"/>
      <c r="P66" s="671" t="s">
        <v>109</v>
      </c>
      <c r="Q66" s="672"/>
      <c r="R66" s="672"/>
      <c r="S66" s="672"/>
      <c r="T66" s="672"/>
      <c r="U66" s="672"/>
      <c r="V66" s="732"/>
      <c r="W66" s="733"/>
      <c r="X66" s="733"/>
      <c r="Y66" s="734"/>
      <c r="Z66" s="671" t="s">
        <v>109</v>
      </c>
      <c r="AA66" s="672"/>
      <c r="AB66" s="672"/>
      <c r="AC66" s="672"/>
      <c r="AD66" s="672"/>
      <c r="AE66" s="672"/>
      <c r="AF66" s="732"/>
      <c r="AG66" s="733"/>
      <c r="AH66" s="733"/>
      <c r="AI66" s="734"/>
      <c r="AJ66" s="45"/>
      <c r="AK66" s="49"/>
      <c r="AN66" s="73"/>
      <c r="AO66" s="74"/>
    </row>
    <row r="67" spans="1:45" ht="12" customHeight="1" thickBot="1">
      <c r="A67" s="48"/>
      <c r="B67" s="45"/>
      <c r="C67" s="715"/>
      <c r="D67" s="716"/>
      <c r="E67" s="717"/>
      <c r="F67" s="660" t="s">
        <v>121</v>
      </c>
      <c r="G67" s="661"/>
      <c r="H67" s="661"/>
      <c r="I67" s="662"/>
      <c r="J67" s="181" t="str">
        <f>IF(AP6=0,"",IF(AQ65=0,"","X"))</f>
        <v/>
      </c>
      <c r="K67" s="663" t="s">
        <v>123</v>
      </c>
      <c r="L67" s="663"/>
      <c r="M67" s="181" t="str">
        <f>IF(AP6=0,"",IF(J67="X","","X"))</f>
        <v/>
      </c>
      <c r="N67" s="663" t="s">
        <v>122</v>
      </c>
      <c r="O67" s="664"/>
      <c r="P67" s="660" t="s">
        <v>121</v>
      </c>
      <c r="Q67" s="661"/>
      <c r="R67" s="661"/>
      <c r="S67" s="662"/>
      <c r="T67" s="181" t="str">
        <f>IF(AP6=0,"",IF(AR65=0,"","X"))</f>
        <v/>
      </c>
      <c r="U67" s="663" t="s">
        <v>123</v>
      </c>
      <c r="V67" s="663"/>
      <c r="W67" s="181" t="str">
        <f>IF(AP6=0,"",IF(T67="X","","X"))</f>
        <v/>
      </c>
      <c r="X67" s="663" t="s">
        <v>122</v>
      </c>
      <c r="Y67" s="664"/>
      <c r="Z67" s="660" t="s">
        <v>121</v>
      </c>
      <c r="AA67" s="661"/>
      <c r="AB67" s="661"/>
      <c r="AC67" s="662"/>
      <c r="AD67" s="181" t="str">
        <f>IF(AP6=0,"",IF(AS65=0,"","X"))</f>
        <v/>
      </c>
      <c r="AE67" s="663" t="s">
        <v>123</v>
      </c>
      <c r="AF67" s="663"/>
      <c r="AG67" s="181" t="str">
        <f>IF(AP6=0,"",IF(AD67="X","","X"))</f>
        <v/>
      </c>
      <c r="AH67" s="663" t="s">
        <v>122</v>
      </c>
      <c r="AI67" s="664"/>
      <c r="AJ67" s="45"/>
      <c r="AK67" s="49"/>
    </row>
    <row r="68" spans="1:45" ht="6" customHeight="1" thickTop="1">
      <c r="A68" s="50"/>
      <c r="B68" s="51"/>
      <c r="C68" s="51"/>
      <c r="D68" s="51"/>
      <c r="E68" s="51"/>
      <c r="F68" s="51"/>
      <c r="G68" s="51"/>
      <c r="H68" s="51"/>
      <c r="I68" s="51"/>
      <c r="J68" s="51"/>
      <c r="K68" s="51"/>
      <c r="L68" s="51"/>
      <c r="M68" s="51"/>
      <c r="N68" s="51"/>
      <c r="O68" s="51"/>
      <c r="P68" s="51"/>
      <c r="Q68" s="51"/>
      <c r="R68" s="51"/>
      <c r="S68" s="51"/>
      <c r="T68" s="51"/>
      <c r="U68" s="51"/>
      <c r="V68" s="51"/>
      <c r="W68" s="51"/>
      <c r="X68" s="51"/>
      <c r="Y68" s="51"/>
      <c r="Z68" s="51"/>
      <c r="AA68" s="51"/>
      <c r="AB68" s="51"/>
      <c r="AC68" s="51"/>
      <c r="AD68" s="51"/>
      <c r="AE68" s="51"/>
      <c r="AF68" s="51"/>
      <c r="AG68" s="51"/>
      <c r="AH68" s="51"/>
      <c r="AI68" s="51"/>
      <c r="AJ68" s="51"/>
      <c r="AK68" s="52"/>
    </row>
    <row r="70" spans="1:45" ht="12" customHeight="1">
      <c r="D70" s="110"/>
      <c r="E70" s="112"/>
      <c r="G70" s="109"/>
      <c r="H70" s="169"/>
      <c r="I70" s="114"/>
    </row>
    <row r="71" spans="1:45" ht="12" customHeight="1">
      <c r="D71" s="111"/>
      <c r="E71" s="113"/>
      <c r="G71" s="115"/>
      <c r="H71" s="141"/>
      <c r="I71" s="114"/>
    </row>
    <row r="72" spans="1:45" ht="12" customHeight="1">
      <c r="D72" s="114"/>
      <c r="E72" s="114"/>
      <c r="F72" s="114"/>
      <c r="G72" s="114"/>
      <c r="H72" s="142"/>
      <c r="I72" s="114"/>
    </row>
    <row r="73" spans="1:45" ht="12" customHeight="1">
      <c r="D73" s="114"/>
      <c r="E73" s="114"/>
      <c r="G73" s="114"/>
      <c r="H73" s="169"/>
      <c r="I73" s="114"/>
    </row>
    <row r="74" spans="1:45" ht="12" customHeight="1">
      <c r="D74" s="114"/>
      <c r="E74" s="114"/>
      <c r="G74" s="114"/>
      <c r="H74" s="141"/>
      <c r="I74" s="114"/>
    </row>
    <row r="80" spans="1:45" ht="12" customHeight="1">
      <c r="B80" s="397"/>
      <c r="C80" s="397"/>
      <c r="D80" s="397"/>
      <c r="E80" s="397"/>
      <c r="F80" s="397"/>
      <c r="G80" s="397"/>
      <c r="H80" s="397"/>
      <c r="I80" s="397"/>
      <c r="J80" s="397"/>
      <c r="K80" s="397"/>
      <c r="L80" s="397"/>
      <c r="M80" s="397"/>
      <c r="N80" s="397"/>
      <c r="O80" s="397"/>
      <c r="P80" s="397"/>
      <c r="Q80" s="397"/>
      <c r="R80" s="397"/>
      <c r="S80" s="397"/>
      <c r="T80" s="397"/>
      <c r="U80" s="397"/>
      <c r="V80" s="397"/>
      <c r="W80" s="397"/>
      <c r="X80" s="397"/>
      <c r="Y80" s="397"/>
      <c r="Z80" s="397"/>
      <c r="AA80" s="397"/>
      <c r="AB80" s="397"/>
      <c r="AC80" s="397"/>
      <c r="AD80" s="397"/>
      <c r="AE80" s="397"/>
      <c r="AF80" s="397"/>
      <c r="AG80" s="397"/>
      <c r="AH80" s="397"/>
      <c r="AI80" s="397"/>
      <c r="AJ80" s="397"/>
    </row>
    <row r="81" spans="2:36" ht="12" customHeight="1">
      <c r="B81" s="397"/>
      <c r="C81" s="397"/>
      <c r="D81" s="397"/>
      <c r="E81" s="397"/>
      <c r="F81" s="397"/>
      <c r="G81" s="397"/>
      <c r="H81" s="397"/>
      <c r="I81" s="397"/>
      <c r="J81" s="397"/>
      <c r="K81" s="397"/>
      <c r="L81" s="397"/>
      <c r="M81" s="397"/>
      <c r="N81" s="397"/>
      <c r="O81" s="397"/>
      <c r="P81" s="397"/>
      <c r="Q81" s="397"/>
      <c r="R81" s="397"/>
      <c r="S81" s="397"/>
      <c r="T81" s="397"/>
      <c r="U81" s="397"/>
      <c r="V81" s="397"/>
      <c r="W81" s="397"/>
      <c r="X81" s="397"/>
      <c r="Y81" s="397"/>
      <c r="Z81" s="397"/>
      <c r="AA81" s="397"/>
      <c r="AB81" s="397"/>
      <c r="AC81" s="397"/>
      <c r="AD81" s="397"/>
      <c r="AE81" s="397"/>
      <c r="AF81" s="397"/>
      <c r="AG81" s="397"/>
      <c r="AH81" s="397"/>
      <c r="AI81" s="397"/>
      <c r="AJ81" s="397"/>
    </row>
    <row r="82" spans="2:36" ht="12" customHeight="1">
      <c r="B82" s="398"/>
      <c r="C82" s="398"/>
      <c r="D82" s="398"/>
      <c r="E82" s="398"/>
      <c r="F82" s="398"/>
      <c r="G82" s="398"/>
      <c r="H82" s="398"/>
      <c r="I82" s="398"/>
      <c r="J82" s="398"/>
      <c r="K82" s="398"/>
      <c r="L82" s="398"/>
      <c r="M82" s="398"/>
      <c r="N82" s="398"/>
      <c r="O82" s="398"/>
      <c r="P82" s="398"/>
      <c r="Q82" s="398"/>
      <c r="R82" s="398"/>
      <c r="S82" s="398"/>
      <c r="T82" s="398"/>
      <c r="U82" s="398"/>
      <c r="V82" s="398"/>
      <c r="W82" s="398"/>
      <c r="X82" s="398"/>
      <c r="Y82" s="398"/>
      <c r="Z82" s="398"/>
      <c r="AA82" s="398"/>
      <c r="AB82" s="398"/>
      <c r="AC82" s="398"/>
      <c r="AD82" s="398"/>
      <c r="AE82" s="398"/>
      <c r="AF82" s="398"/>
      <c r="AG82" s="398"/>
      <c r="AH82" s="398"/>
      <c r="AI82" s="398"/>
      <c r="AJ82" s="398"/>
    </row>
    <row r="83" spans="2:36" ht="12" customHeight="1">
      <c r="B83" s="397"/>
      <c r="C83" s="397"/>
      <c r="D83" s="397"/>
      <c r="E83" s="397"/>
      <c r="F83" s="397"/>
      <c r="G83" s="397"/>
      <c r="H83" s="397"/>
      <c r="I83" s="397"/>
      <c r="J83" s="397"/>
      <c r="K83" s="397"/>
      <c r="L83" s="397"/>
      <c r="M83" s="397"/>
      <c r="N83" s="397"/>
      <c r="O83" s="397"/>
      <c r="P83" s="397"/>
      <c r="Q83" s="397"/>
      <c r="R83" s="397"/>
      <c r="S83" s="397"/>
      <c r="T83" s="397"/>
      <c r="U83" s="397"/>
      <c r="V83" s="397"/>
      <c r="W83" s="397"/>
      <c r="X83" s="397"/>
      <c r="Y83" s="397"/>
      <c r="Z83" s="397"/>
      <c r="AA83" s="397"/>
      <c r="AB83" s="397"/>
      <c r="AC83" s="397"/>
      <c r="AD83" s="397"/>
      <c r="AE83" s="397"/>
      <c r="AF83" s="397"/>
      <c r="AG83" s="397"/>
      <c r="AH83" s="397"/>
      <c r="AI83" s="397"/>
      <c r="AJ83" s="397"/>
    </row>
    <row r="84" spans="2:36" ht="12" customHeight="1">
      <c r="B84" s="397"/>
      <c r="C84" s="397"/>
      <c r="D84" s="397"/>
      <c r="E84" s="397"/>
      <c r="F84" s="397"/>
      <c r="G84" s="397"/>
      <c r="H84" s="397"/>
      <c r="I84" s="397"/>
      <c r="J84" s="397"/>
      <c r="K84" s="397"/>
      <c r="L84" s="397"/>
      <c r="M84" s="397"/>
      <c r="N84" s="397"/>
      <c r="O84" s="397"/>
      <c r="P84" s="397"/>
      <c r="Q84" s="397"/>
      <c r="R84" s="397"/>
      <c r="S84" s="397"/>
      <c r="T84" s="397"/>
      <c r="U84" s="397"/>
      <c r="V84" s="397"/>
      <c r="W84" s="397"/>
      <c r="X84" s="397"/>
      <c r="Y84" s="397"/>
      <c r="Z84" s="397"/>
      <c r="AA84" s="397"/>
      <c r="AB84" s="397"/>
      <c r="AC84" s="397"/>
      <c r="AD84" s="397"/>
      <c r="AE84" s="397"/>
      <c r="AF84" s="397"/>
      <c r="AG84" s="397"/>
      <c r="AH84" s="397"/>
      <c r="AI84" s="397"/>
      <c r="AJ84" s="397"/>
    </row>
  </sheetData>
  <sheetProtection sheet="1" objects="1" scenarios="1" selectLockedCells="1"/>
  <mergeCells count="60">
    <mergeCell ref="AD14:AF14"/>
    <mergeCell ref="AG14:AI14"/>
    <mergeCell ref="AA15:AC15"/>
    <mergeCell ref="AD15:AF15"/>
    <mergeCell ref="AG15:AI15"/>
    <mergeCell ref="F64:K64"/>
    <mergeCell ref="L64:M64"/>
    <mergeCell ref="N64:O64"/>
    <mergeCell ref="F65:K65"/>
    <mergeCell ref="Z65:AE65"/>
    <mergeCell ref="Z64:AE64"/>
    <mergeCell ref="P65:U65"/>
    <mergeCell ref="V65:W65"/>
    <mergeCell ref="X65:Y65"/>
    <mergeCell ref="AH67:AI67"/>
    <mergeCell ref="AE67:AF67"/>
    <mergeCell ref="Z67:AC67"/>
    <mergeCell ref="P64:U64"/>
    <mergeCell ref="V64:W64"/>
    <mergeCell ref="X64:Y64"/>
    <mergeCell ref="P67:S67"/>
    <mergeCell ref="P66:U66"/>
    <mergeCell ref="V66:W66"/>
    <mergeCell ref="X66:Y66"/>
    <mergeCell ref="AH66:AI66"/>
    <mergeCell ref="AF66:AG66"/>
    <mergeCell ref="Z66:AE66"/>
    <mergeCell ref="X67:Y67"/>
    <mergeCell ref="B2:AJ3"/>
    <mergeCell ref="C13:Y15"/>
    <mergeCell ref="Z61:AI61"/>
    <mergeCell ref="Z62:AI62"/>
    <mergeCell ref="P61:Y63"/>
    <mergeCell ref="F61:O63"/>
    <mergeCell ref="C61:E67"/>
    <mergeCell ref="C17:AI18"/>
    <mergeCell ref="C19:AI19"/>
    <mergeCell ref="AA12:AI12"/>
    <mergeCell ref="AA13:AC13"/>
    <mergeCell ref="AD13:AF13"/>
    <mergeCell ref="AG13:AI13"/>
    <mergeCell ref="AA14:AC14"/>
    <mergeCell ref="U67:V67"/>
    <mergeCell ref="AF63:AI63"/>
    <mergeCell ref="C11:AI11"/>
    <mergeCell ref="F67:I67"/>
    <mergeCell ref="K67:L67"/>
    <mergeCell ref="N67:O67"/>
    <mergeCell ref="C39:AI40"/>
    <mergeCell ref="C41:AI41"/>
    <mergeCell ref="L65:M65"/>
    <mergeCell ref="N65:O65"/>
    <mergeCell ref="F66:K66"/>
    <mergeCell ref="L66:M66"/>
    <mergeCell ref="N66:O66"/>
    <mergeCell ref="AA63:AD63"/>
    <mergeCell ref="AH64:AI64"/>
    <mergeCell ref="AF64:AG64"/>
    <mergeCell ref="AF65:AG65"/>
    <mergeCell ref="AH65:AI65"/>
  </mergeCells>
  <conditionalFormatting sqref="Z63">
    <cfRule type="expression" dxfId="30" priority="16">
      <formula>$AS$64&lt;&gt;3</formula>
    </cfRule>
  </conditionalFormatting>
  <conditionalFormatting sqref="AE63">
    <cfRule type="expression" dxfId="29" priority="15">
      <formula>$AS$64&lt;&gt;4</formula>
    </cfRule>
  </conditionalFormatting>
  <conditionalFormatting sqref="AF64:AG65">
    <cfRule type="expression" dxfId="28" priority="14">
      <formula>$AS$64&lt;&gt;3</formula>
    </cfRule>
  </conditionalFormatting>
  <conditionalFormatting sqref="AF66:AG66">
    <cfRule type="expression" dxfId="27" priority="13">
      <formula>$AS$64&lt;&gt;3</formula>
    </cfRule>
  </conditionalFormatting>
  <conditionalFormatting sqref="AH64:AI65">
    <cfRule type="expression" dxfId="26" priority="12">
      <formula>$AS$64&lt;&gt;4</formula>
    </cfRule>
  </conditionalFormatting>
  <conditionalFormatting sqref="AH66:AI66">
    <cfRule type="expression" dxfId="25" priority="11">
      <formula>$AS$64&lt;&gt;4</formula>
    </cfRule>
  </conditionalFormatting>
  <conditionalFormatting sqref="L64:M65 V64:W65">
    <cfRule type="expression" dxfId="24" priority="4">
      <formula>$AQ$64&lt;&gt;1</formula>
    </cfRule>
  </conditionalFormatting>
  <conditionalFormatting sqref="X64:Y65 N64:O65">
    <cfRule type="expression" dxfId="23" priority="3">
      <formula>$AQ$64=1</formula>
    </cfRule>
  </conditionalFormatting>
  <conditionalFormatting sqref="L66:M66 V66:W66">
    <cfRule type="expression" dxfId="22" priority="2">
      <formula>$AQ$64&lt;&gt;1</formula>
    </cfRule>
  </conditionalFormatting>
  <conditionalFormatting sqref="N66:O66 X66:Y66">
    <cfRule type="expression" dxfId="21" priority="1">
      <formula>$AQ$64=1</formula>
    </cfRule>
  </conditionalFormatting>
  <printOptions horizontalCentered="1"/>
  <pageMargins left="0.5" right="0.25" top="0.25" bottom="0.5" header="0.3" footer="0.35"/>
  <pageSetup orientation="portrait" r:id="rId1"/>
  <headerFooter>
    <oddFooter>&amp;L&amp;"Arial,Italic"&amp;8Based on MUTCD 2009
Page 3 of 7&amp;C&amp;"Arial,Bold"&amp;8&amp;UNOTE:&amp;"Arial,Italic"&amp;U  The satisfaction of a warrant or warrants shall not in
itself require the installation of a traffic control signal&amp;R&amp;"Arial,Italic"&amp;8rev. 05/2011</oddFooter>
  </headerFooter>
  <drawing r:id="rId2"/>
</worksheet>
</file>

<file path=xl/worksheets/sheet4.xml><?xml version="1.0" encoding="utf-8"?>
<worksheet xmlns="http://schemas.openxmlformats.org/spreadsheetml/2006/main" xmlns:r="http://schemas.openxmlformats.org/officeDocument/2006/relationships">
  <dimension ref="A1:AP83"/>
  <sheetViews>
    <sheetView showGridLines="0" workbookViewId="0">
      <selection activeCell="T19" sqref="T19:U19"/>
    </sheetView>
  </sheetViews>
  <sheetFormatPr defaultColWidth="2.7109375" defaultRowHeight="12" customHeight="1"/>
  <cols>
    <col min="1" max="1" width="0.85546875" customWidth="1"/>
    <col min="8" max="8" width="2.7109375" customWidth="1"/>
    <col min="26" max="26" width="2.7109375" customWidth="1"/>
    <col min="37" max="37" width="0.85546875" customWidth="1"/>
    <col min="40" max="42" width="2.7109375" hidden="1" customWidth="1"/>
    <col min="43" max="48" width="2.7109375" customWidth="1"/>
  </cols>
  <sheetData>
    <row r="1" spans="1:42" ht="6" customHeight="1">
      <c r="A1" s="46"/>
      <c r="B1" s="366"/>
      <c r="C1" s="366"/>
      <c r="D1" s="366"/>
      <c r="E1" s="366"/>
      <c r="F1" s="366"/>
      <c r="G1" s="366"/>
      <c r="H1" s="366"/>
      <c r="I1" s="366"/>
      <c r="J1" s="366"/>
      <c r="K1" s="366"/>
      <c r="L1" s="366"/>
      <c r="M1" s="366"/>
      <c r="N1" s="366"/>
      <c r="O1" s="366"/>
      <c r="P1" s="366"/>
      <c r="Q1" s="366"/>
      <c r="R1" s="366"/>
      <c r="S1" s="366"/>
      <c r="T1" s="366"/>
      <c r="U1" s="366"/>
      <c r="V1" s="366"/>
      <c r="W1" s="366"/>
      <c r="X1" s="366"/>
      <c r="Y1" s="366"/>
      <c r="Z1" s="366"/>
      <c r="AA1" s="366"/>
      <c r="AB1" s="366"/>
      <c r="AC1" s="366"/>
      <c r="AD1" s="366"/>
      <c r="AE1" s="366"/>
      <c r="AF1" s="366"/>
      <c r="AG1" s="366"/>
      <c r="AH1" s="366"/>
      <c r="AI1" s="366"/>
      <c r="AJ1" s="366"/>
      <c r="AK1" s="211"/>
    </row>
    <row r="2" spans="1:42" ht="12" customHeight="1">
      <c r="A2" s="48"/>
      <c r="B2" s="492" t="s">
        <v>293</v>
      </c>
      <c r="C2" s="492"/>
      <c r="D2" s="492"/>
      <c r="E2" s="492"/>
      <c r="F2" s="492"/>
      <c r="G2" s="492"/>
      <c r="H2" s="492"/>
      <c r="I2" s="492"/>
      <c r="J2" s="492"/>
      <c r="K2" s="492"/>
      <c r="L2" s="492"/>
      <c r="M2" s="492"/>
      <c r="N2" s="492"/>
      <c r="O2" s="492"/>
      <c r="P2" s="492"/>
      <c r="Q2" s="492"/>
      <c r="R2" s="492"/>
      <c r="S2" s="492"/>
      <c r="T2" s="492"/>
      <c r="U2" s="492"/>
      <c r="V2" s="492"/>
      <c r="W2" s="492"/>
      <c r="X2" s="492"/>
      <c r="Y2" s="492"/>
      <c r="Z2" s="492"/>
      <c r="AA2" s="492"/>
      <c r="AB2" s="492"/>
      <c r="AC2" s="492"/>
      <c r="AD2" s="492"/>
      <c r="AE2" s="492"/>
      <c r="AF2" s="492"/>
      <c r="AG2" s="492"/>
      <c r="AH2" s="492"/>
      <c r="AI2" s="492"/>
      <c r="AJ2" s="492"/>
      <c r="AK2" s="49"/>
    </row>
    <row r="3" spans="1:42" ht="12" customHeight="1">
      <c r="A3" s="48"/>
      <c r="B3" s="492"/>
      <c r="C3" s="492"/>
      <c r="D3" s="492"/>
      <c r="E3" s="492"/>
      <c r="F3" s="492"/>
      <c r="G3" s="492"/>
      <c r="H3" s="492"/>
      <c r="I3" s="492"/>
      <c r="J3" s="492"/>
      <c r="K3" s="492"/>
      <c r="L3" s="492"/>
      <c r="M3" s="492"/>
      <c r="N3" s="492"/>
      <c r="O3" s="492"/>
      <c r="P3" s="492"/>
      <c r="Q3" s="492"/>
      <c r="R3" s="492"/>
      <c r="S3" s="492"/>
      <c r="T3" s="492"/>
      <c r="U3" s="492"/>
      <c r="V3" s="492"/>
      <c r="W3" s="492"/>
      <c r="X3" s="492"/>
      <c r="Y3" s="492"/>
      <c r="Z3" s="492"/>
      <c r="AA3" s="492"/>
      <c r="AB3" s="492"/>
      <c r="AC3" s="492"/>
      <c r="AD3" s="492"/>
      <c r="AE3" s="492"/>
      <c r="AF3" s="492"/>
      <c r="AG3" s="492"/>
      <c r="AH3" s="492"/>
      <c r="AI3" s="492"/>
      <c r="AJ3" s="492"/>
      <c r="AK3" s="49"/>
    </row>
    <row r="4" spans="1:42" ht="6" customHeight="1">
      <c r="A4" s="48"/>
      <c r="B4" s="176"/>
      <c r="C4" s="176"/>
      <c r="D4" s="176"/>
      <c r="E4" s="176"/>
      <c r="F4" s="176"/>
      <c r="G4" s="176"/>
      <c r="H4" s="176"/>
      <c r="I4" s="176"/>
      <c r="J4" s="176"/>
      <c r="K4" s="176"/>
      <c r="L4" s="176"/>
      <c r="M4" s="176"/>
      <c r="N4" s="176"/>
      <c r="O4" s="176"/>
      <c r="P4" s="176"/>
      <c r="Q4" s="176"/>
      <c r="R4" s="176"/>
      <c r="S4" s="176"/>
      <c r="T4" s="176"/>
      <c r="U4" s="176"/>
      <c r="V4" s="176"/>
      <c r="W4" s="176"/>
      <c r="X4" s="176"/>
      <c r="Y4" s="176"/>
      <c r="Z4" s="176"/>
      <c r="AA4" s="176"/>
      <c r="AB4" s="176"/>
      <c r="AC4" s="176"/>
      <c r="AD4" s="176"/>
      <c r="AE4" s="176"/>
      <c r="AF4" s="176"/>
      <c r="AG4" s="176"/>
      <c r="AH4" s="176"/>
      <c r="AI4" s="176"/>
      <c r="AJ4" s="176"/>
      <c r="AK4" s="49"/>
    </row>
    <row r="5" spans="1:42" ht="6" customHeight="1">
      <c r="A5" s="48"/>
      <c r="B5" s="170"/>
      <c r="C5" s="170"/>
      <c r="D5" s="170"/>
      <c r="E5" s="170"/>
      <c r="F5" s="170"/>
      <c r="G5" s="170"/>
      <c r="H5" s="170"/>
      <c r="I5" s="170"/>
      <c r="J5" s="170"/>
      <c r="K5" s="170"/>
      <c r="L5" s="170"/>
      <c r="M5" s="170"/>
      <c r="N5" s="170"/>
      <c r="O5" s="170"/>
      <c r="P5" s="170"/>
      <c r="Q5" s="170"/>
      <c r="R5" s="170"/>
      <c r="S5" s="170"/>
      <c r="T5" s="170"/>
      <c r="U5" s="170"/>
      <c r="V5" s="170"/>
      <c r="W5" s="170"/>
      <c r="X5" s="170"/>
      <c r="Y5" s="170"/>
      <c r="Z5" s="170"/>
      <c r="AA5" s="170"/>
      <c r="AB5" s="170"/>
      <c r="AC5" s="170"/>
      <c r="AD5" s="170"/>
      <c r="AE5" s="170"/>
      <c r="AF5" s="170"/>
      <c r="AG5" s="170"/>
      <c r="AH5" s="170"/>
      <c r="AI5" s="170"/>
      <c r="AJ5" s="170"/>
      <c r="AK5" s="49"/>
    </row>
    <row r="6" spans="1:42" ht="14.1" customHeight="1">
      <c r="A6" s="48"/>
      <c r="B6" s="209"/>
      <c r="C6" s="206" t="s">
        <v>128</v>
      </c>
      <c r="D6" s="170"/>
      <c r="E6" s="170"/>
      <c r="F6" s="170"/>
      <c r="G6" s="170"/>
      <c r="H6" s="170"/>
      <c r="I6" s="170"/>
      <c r="J6" s="170"/>
      <c r="K6" s="170"/>
      <c r="L6" s="170"/>
      <c r="M6" s="170"/>
      <c r="N6" s="170"/>
      <c r="O6" s="170"/>
      <c r="P6" s="170"/>
      <c r="Q6" s="170"/>
      <c r="R6" s="170"/>
      <c r="S6" s="170"/>
      <c r="T6" s="170"/>
      <c r="U6" s="170"/>
      <c r="V6" s="170"/>
      <c r="W6" s="170"/>
      <c r="X6" s="170"/>
      <c r="Y6" s="170"/>
      <c r="Z6" s="170"/>
      <c r="AA6" s="170"/>
      <c r="AB6" s="175" t="s">
        <v>37</v>
      </c>
      <c r="AC6" s="170"/>
      <c r="AD6" s="213" t="str">
        <f>IF(AP6=0,"",IF(AN6=1,"X",""))</f>
        <v/>
      </c>
      <c r="AE6" s="172" t="s">
        <v>27</v>
      </c>
      <c r="AF6" s="172"/>
      <c r="AG6" s="213" t="str">
        <f>IF(AP6=0,"",IF(AD6="X","","X"))</f>
        <v/>
      </c>
      <c r="AH6" s="172" t="s">
        <v>28</v>
      </c>
      <c r="AI6" s="170"/>
      <c r="AJ6" s="170"/>
      <c r="AK6" s="49"/>
      <c r="AN6" s="18">
        <f>IF(AP13=0,0,IF(AN26=1,1,IF(AN49=1,1,0)))</f>
        <v>0</v>
      </c>
      <c r="AO6" s="18"/>
      <c r="AP6" s="18">
        <f>IF('Warrant 1'!W9="",0,1)</f>
        <v>0</v>
      </c>
    </row>
    <row r="7" spans="1:42" ht="6" customHeight="1" thickBot="1">
      <c r="A7" s="48"/>
      <c r="B7" s="45"/>
      <c r="C7" s="45"/>
      <c r="D7" s="45"/>
      <c r="E7" s="45"/>
      <c r="F7" s="45"/>
      <c r="G7" s="45"/>
      <c r="H7" s="45"/>
      <c r="I7" s="45"/>
      <c r="J7" s="45"/>
      <c r="K7" s="45"/>
      <c r="L7" s="45"/>
      <c r="M7" s="45"/>
      <c r="N7" s="45"/>
      <c r="O7" s="45"/>
      <c r="P7" s="45"/>
      <c r="Q7" s="45"/>
      <c r="R7" s="45"/>
      <c r="S7" s="45"/>
      <c r="T7" s="45"/>
      <c r="U7" s="45"/>
      <c r="V7" s="45"/>
      <c r="W7" s="45"/>
      <c r="X7" s="45"/>
      <c r="Y7" s="45"/>
      <c r="Z7" s="45"/>
      <c r="AA7" s="45"/>
      <c r="AB7" s="45"/>
      <c r="AC7" s="45"/>
      <c r="AD7" s="45"/>
      <c r="AE7" s="45"/>
      <c r="AF7" s="45"/>
      <c r="AG7" s="45"/>
      <c r="AH7" s="45"/>
      <c r="AI7" s="45"/>
      <c r="AJ7" s="45"/>
      <c r="AK7" s="49"/>
      <c r="AN7" s="18"/>
      <c r="AO7" s="18"/>
      <c r="AP7" s="18"/>
    </row>
    <row r="8" spans="1:42" ht="3.95" customHeight="1" thickTop="1">
      <c r="A8" s="48"/>
      <c r="B8" s="45"/>
      <c r="C8" s="810" t="s">
        <v>148</v>
      </c>
      <c r="D8" s="811"/>
      <c r="E8" s="811"/>
      <c r="F8" s="811"/>
      <c r="G8" s="811"/>
      <c r="H8" s="811"/>
      <c r="I8" s="811"/>
      <c r="J8" s="811"/>
      <c r="K8" s="811"/>
      <c r="L8" s="811"/>
      <c r="M8" s="811"/>
      <c r="N8" s="811"/>
      <c r="O8" s="811"/>
      <c r="P8" s="811"/>
      <c r="Q8" s="811"/>
      <c r="R8" s="811"/>
      <c r="S8" s="811"/>
      <c r="T8" s="811"/>
      <c r="U8" s="811"/>
      <c r="V8" s="811"/>
      <c r="W8" s="811"/>
      <c r="X8" s="811"/>
      <c r="Y8" s="811"/>
      <c r="Z8" s="811"/>
      <c r="AA8" s="811"/>
      <c r="AB8" s="811"/>
      <c r="AC8" s="811"/>
      <c r="AD8" s="811"/>
      <c r="AE8" s="812"/>
      <c r="AF8" s="818" t="s">
        <v>145</v>
      </c>
      <c r="AG8" s="819"/>
      <c r="AH8" s="819"/>
      <c r="AI8" s="820"/>
      <c r="AJ8" s="45"/>
      <c r="AK8" s="49"/>
      <c r="AN8" s="18"/>
      <c r="AO8" s="18"/>
      <c r="AP8" s="18"/>
    </row>
    <row r="9" spans="1:42" ht="9" customHeight="1">
      <c r="A9" s="48"/>
      <c r="B9" s="45"/>
      <c r="C9" s="813"/>
      <c r="D9" s="814"/>
      <c r="E9" s="814"/>
      <c r="F9" s="814"/>
      <c r="G9" s="814"/>
      <c r="H9" s="814"/>
      <c r="I9" s="814"/>
      <c r="J9" s="814"/>
      <c r="K9" s="814"/>
      <c r="L9" s="814"/>
      <c r="M9" s="814"/>
      <c r="N9" s="814"/>
      <c r="O9" s="814"/>
      <c r="P9" s="814"/>
      <c r="Q9" s="814"/>
      <c r="R9" s="814"/>
      <c r="S9" s="814"/>
      <c r="T9" s="814"/>
      <c r="U9" s="814"/>
      <c r="V9" s="814"/>
      <c r="W9" s="814"/>
      <c r="X9" s="814"/>
      <c r="Y9" s="814"/>
      <c r="Z9" s="814"/>
      <c r="AA9" s="814"/>
      <c r="AB9" s="814"/>
      <c r="AC9" s="814"/>
      <c r="AD9" s="814"/>
      <c r="AE9" s="800"/>
      <c r="AF9" s="821"/>
      <c r="AG9" s="822"/>
      <c r="AH9" s="822"/>
      <c r="AI9" s="823"/>
      <c r="AJ9" s="45"/>
      <c r="AK9" s="49"/>
      <c r="AN9" s="18"/>
      <c r="AO9" s="18"/>
      <c r="AP9" s="18"/>
    </row>
    <row r="10" spans="1:42" ht="9" customHeight="1" thickBot="1">
      <c r="A10" s="48"/>
      <c r="B10" s="45"/>
      <c r="C10" s="815"/>
      <c r="D10" s="816"/>
      <c r="E10" s="816"/>
      <c r="F10" s="816"/>
      <c r="G10" s="816"/>
      <c r="H10" s="816"/>
      <c r="I10" s="816"/>
      <c r="J10" s="816"/>
      <c r="K10" s="816"/>
      <c r="L10" s="816"/>
      <c r="M10" s="816"/>
      <c r="N10" s="816"/>
      <c r="O10" s="816"/>
      <c r="P10" s="816"/>
      <c r="Q10" s="816"/>
      <c r="R10" s="816"/>
      <c r="S10" s="816"/>
      <c r="T10" s="816"/>
      <c r="U10" s="816"/>
      <c r="V10" s="816"/>
      <c r="W10" s="816"/>
      <c r="X10" s="816"/>
      <c r="Y10" s="816"/>
      <c r="Z10" s="816"/>
      <c r="AA10" s="816"/>
      <c r="AB10" s="816"/>
      <c r="AC10" s="816"/>
      <c r="AD10" s="816"/>
      <c r="AE10" s="817"/>
      <c r="AF10" s="824" t="s">
        <v>27</v>
      </c>
      <c r="AG10" s="825"/>
      <c r="AH10" s="824" t="s">
        <v>28</v>
      </c>
      <c r="AI10" s="826"/>
      <c r="AJ10" s="45"/>
      <c r="AK10" s="49"/>
      <c r="AN10" s="18"/>
      <c r="AO10" s="18"/>
      <c r="AP10" s="18"/>
    </row>
    <row r="11" spans="1:42" ht="3.95" customHeight="1">
      <c r="A11" s="48"/>
      <c r="B11" s="45"/>
      <c r="C11" s="180"/>
      <c r="D11" s="45"/>
      <c r="E11" s="45"/>
      <c r="F11" s="45"/>
      <c r="G11" s="45"/>
      <c r="H11" s="45"/>
      <c r="I11" s="45"/>
      <c r="J11" s="45"/>
      <c r="K11" s="45"/>
      <c r="L11" s="45"/>
      <c r="M11" s="45"/>
      <c r="N11" s="45"/>
      <c r="O11" s="45"/>
      <c r="P11" s="45"/>
      <c r="Q11" s="45"/>
      <c r="R11" s="45"/>
      <c r="S11" s="45"/>
      <c r="T11" s="45"/>
      <c r="U11" s="45"/>
      <c r="V11" s="45"/>
      <c r="W11" s="45"/>
      <c r="X11" s="45"/>
      <c r="Y11" s="45"/>
      <c r="Z11" s="45"/>
      <c r="AA11" s="45"/>
      <c r="AB11" s="45"/>
      <c r="AC11" s="45"/>
      <c r="AD11" s="184"/>
      <c r="AE11" s="184"/>
      <c r="AF11" s="797" t="str">
        <f>IF(AP6=0,"",IF(AP13=1,"X",""))</f>
        <v/>
      </c>
      <c r="AG11" s="798"/>
      <c r="AH11" s="797" t="str">
        <f>IF(AP6=0,"",IF(AF11="X","","X"))</f>
        <v/>
      </c>
      <c r="AI11" s="803"/>
      <c r="AJ11" s="45"/>
      <c r="AK11" s="49"/>
      <c r="AN11" s="18"/>
      <c r="AO11" s="18"/>
      <c r="AP11" s="18"/>
    </row>
    <row r="12" spans="1:42" ht="6" customHeight="1">
      <c r="A12" s="48"/>
      <c r="B12" s="45"/>
      <c r="C12" s="180"/>
      <c r="D12" s="45"/>
      <c r="E12" s="185"/>
      <c r="F12" s="185"/>
      <c r="G12" s="185"/>
      <c r="H12" s="806" t="s">
        <v>146</v>
      </c>
      <c r="I12" s="806"/>
      <c r="J12" s="806"/>
      <c r="K12" s="806"/>
      <c r="L12" s="806"/>
      <c r="M12" s="806"/>
      <c r="N12" s="806"/>
      <c r="O12" s="806"/>
      <c r="P12" s="806"/>
      <c r="Q12" s="806"/>
      <c r="R12" s="806"/>
      <c r="S12" s="806"/>
      <c r="T12" s="806"/>
      <c r="U12" s="806"/>
      <c r="V12" s="806"/>
      <c r="W12" s="806"/>
      <c r="X12" s="806"/>
      <c r="Y12" s="185"/>
      <c r="Z12" s="45"/>
      <c r="AA12" s="45"/>
      <c r="AB12" s="45"/>
      <c r="AC12" s="45"/>
      <c r="AD12" s="45"/>
      <c r="AE12" s="45"/>
      <c r="AF12" s="799"/>
      <c r="AG12" s="800"/>
      <c r="AH12" s="799"/>
      <c r="AI12" s="804"/>
      <c r="AJ12" s="45"/>
      <c r="AK12" s="49"/>
      <c r="AN12" s="18"/>
      <c r="AO12" s="18"/>
      <c r="AP12" s="18"/>
    </row>
    <row r="13" spans="1:42" ht="12" customHeight="1">
      <c r="A13" s="48"/>
      <c r="B13" s="45"/>
      <c r="C13" s="180"/>
      <c r="D13" s="45"/>
      <c r="E13" s="185"/>
      <c r="F13" s="185"/>
      <c r="G13" s="185"/>
      <c r="H13" s="806"/>
      <c r="I13" s="806"/>
      <c r="J13" s="806"/>
      <c r="K13" s="806"/>
      <c r="L13" s="806"/>
      <c r="M13" s="806"/>
      <c r="N13" s="806"/>
      <c r="O13" s="806"/>
      <c r="P13" s="806"/>
      <c r="Q13" s="806"/>
      <c r="R13" s="806"/>
      <c r="S13" s="806"/>
      <c r="T13" s="806"/>
      <c r="U13" s="806"/>
      <c r="V13" s="806"/>
      <c r="W13" s="806"/>
      <c r="X13" s="806"/>
      <c r="Y13" s="185"/>
      <c r="Z13" s="432"/>
      <c r="AA13" s="807" t="s">
        <v>27</v>
      </c>
      <c r="AB13" s="808"/>
      <c r="AC13" s="212" t="str">
        <f>IF(AP6=0,"",IF(Z13="X","","X"))</f>
        <v/>
      </c>
      <c r="AD13" s="807" t="s">
        <v>28</v>
      </c>
      <c r="AE13" s="808"/>
      <c r="AF13" s="799"/>
      <c r="AG13" s="800"/>
      <c r="AH13" s="799"/>
      <c r="AI13" s="804"/>
      <c r="AJ13" s="45"/>
      <c r="AK13" s="49"/>
      <c r="AN13" s="18">
        <f>IF(Z13="X",1,0)</f>
        <v>0</v>
      </c>
      <c r="AO13" s="18"/>
      <c r="AP13" s="18">
        <f>IF(AN13=1,1,IF(AN15=1,1,0))</f>
        <v>0</v>
      </c>
    </row>
    <row r="14" spans="1:42" ht="6" customHeight="1">
      <c r="A14" s="48"/>
      <c r="B14" s="45"/>
      <c r="C14" s="180"/>
      <c r="D14" s="185"/>
      <c r="E14" s="185"/>
      <c r="F14" s="185"/>
      <c r="G14" s="185"/>
      <c r="H14" s="806"/>
      <c r="I14" s="806"/>
      <c r="J14" s="806"/>
      <c r="K14" s="806"/>
      <c r="L14" s="806"/>
      <c r="M14" s="806"/>
      <c r="N14" s="806"/>
      <c r="O14" s="806"/>
      <c r="P14" s="806"/>
      <c r="Q14" s="806"/>
      <c r="R14" s="806"/>
      <c r="S14" s="806"/>
      <c r="T14" s="806"/>
      <c r="U14" s="806"/>
      <c r="V14" s="806"/>
      <c r="W14" s="806"/>
      <c r="X14" s="806"/>
      <c r="Y14" s="185"/>
      <c r="Z14" s="45"/>
      <c r="AA14" s="368"/>
      <c r="AB14" s="368"/>
      <c r="AC14" s="45"/>
      <c r="AD14" s="368"/>
      <c r="AE14" s="368"/>
      <c r="AF14" s="799"/>
      <c r="AG14" s="800"/>
      <c r="AH14" s="799"/>
      <c r="AI14" s="804"/>
      <c r="AJ14" s="45"/>
      <c r="AK14" s="49"/>
      <c r="AN14" s="18"/>
      <c r="AO14" s="18"/>
      <c r="AP14" s="18"/>
    </row>
    <row r="15" spans="1:42" ht="12" customHeight="1">
      <c r="A15" s="48"/>
      <c r="B15" s="45"/>
      <c r="C15" s="180"/>
      <c r="D15" s="809" t="s">
        <v>147</v>
      </c>
      <c r="E15" s="809"/>
      <c r="F15" s="809"/>
      <c r="G15" s="809"/>
      <c r="H15" s="809"/>
      <c r="I15" s="809"/>
      <c r="J15" s="809"/>
      <c r="K15" s="809"/>
      <c r="L15" s="809"/>
      <c r="M15" s="809"/>
      <c r="N15" s="809"/>
      <c r="O15" s="809"/>
      <c r="P15" s="809"/>
      <c r="Q15" s="809"/>
      <c r="R15" s="809"/>
      <c r="S15" s="809"/>
      <c r="T15" s="809"/>
      <c r="U15" s="809"/>
      <c r="V15" s="809"/>
      <c r="W15" s="809"/>
      <c r="X15" s="809"/>
      <c r="Y15" s="45"/>
      <c r="Z15" s="433" t="str">
        <f>IF(AP6=0,"",IF(AC15="X","","X"))</f>
        <v/>
      </c>
      <c r="AA15" s="807" t="s">
        <v>27</v>
      </c>
      <c r="AB15" s="808"/>
      <c r="AC15" s="432"/>
      <c r="AD15" s="807" t="s">
        <v>28</v>
      </c>
      <c r="AE15" s="808"/>
      <c r="AF15" s="799"/>
      <c r="AG15" s="800"/>
      <c r="AH15" s="799"/>
      <c r="AI15" s="804"/>
      <c r="AJ15" s="45"/>
      <c r="AK15" s="49"/>
      <c r="AN15" s="18">
        <f>IF(AC15="X",1,0)</f>
        <v>0</v>
      </c>
      <c r="AO15" s="18"/>
      <c r="AP15" s="18"/>
    </row>
    <row r="16" spans="1:42" ht="3.95" customHeight="1" thickBot="1">
      <c r="A16" s="48"/>
      <c r="B16" s="45"/>
      <c r="C16" s="164"/>
      <c r="D16" s="367"/>
      <c r="E16" s="367"/>
      <c r="F16" s="367"/>
      <c r="G16" s="367"/>
      <c r="H16" s="367"/>
      <c r="I16" s="367"/>
      <c r="J16" s="367"/>
      <c r="K16" s="367"/>
      <c r="L16" s="367"/>
      <c r="M16" s="367"/>
      <c r="N16" s="367"/>
      <c r="O16" s="367"/>
      <c r="P16" s="367"/>
      <c r="Q16" s="367"/>
      <c r="R16" s="367"/>
      <c r="S16" s="367"/>
      <c r="T16" s="367"/>
      <c r="U16" s="367"/>
      <c r="V16" s="367"/>
      <c r="W16" s="367"/>
      <c r="X16" s="367"/>
      <c r="Y16" s="367"/>
      <c r="Z16" s="367"/>
      <c r="AA16" s="367"/>
      <c r="AB16" s="367"/>
      <c r="AC16" s="367"/>
      <c r="AD16" s="367"/>
      <c r="AE16" s="367"/>
      <c r="AF16" s="801"/>
      <c r="AG16" s="802"/>
      <c r="AH16" s="801"/>
      <c r="AI16" s="805"/>
      <c r="AJ16" s="45"/>
      <c r="AK16" s="49"/>
      <c r="AN16" s="18"/>
      <c r="AO16" s="18"/>
      <c r="AP16" s="18"/>
    </row>
    <row r="17" spans="1:42" ht="12" customHeight="1" thickTop="1" thickBot="1">
      <c r="A17" s="48"/>
      <c r="B17" s="45"/>
      <c r="C17" s="45"/>
      <c r="D17" s="45"/>
      <c r="E17" s="45"/>
      <c r="F17" s="45"/>
      <c r="G17" s="45"/>
      <c r="H17" s="45"/>
      <c r="I17" s="45"/>
      <c r="J17" s="45"/>
      <c r="K17" s="45"/>
      <c r="L17" s="45"/>
      <c r="M17" s="45"/>
      <c r="N17" s="45"/>
      <c r="O17" s="45"/>
      <c r="P17" s="45"/>
      <c r="Q17" s="45"/>
      <c r="R17" s="45"/>
      <c r="S17" s="45"/>
      <c r="T17" s="45"/>
      <c r="U17" s="45"/>
      <c r="V17" s="45"/>
      <c r="W17" s="45"/>
      <c r="X17" s="45"/>
      <c r="Y17" s="45"/>
      <c r="Z17" s="45"/>
      <c r="AA17" s="45"/>
      <c r="AB17" s="45"/>
      <c r="AC17" s="45"/>
      <c r="AD17" s="45"/>
      <c r="AE17" s="45"/>
      <c r="AF17" s="45"/>
      <c r="AG17" s="45"/>
      <c r="AH17" s="45"/>
      <c r="AI17" s="45"/>
      <c r="AJ17" s="45"/>
      <c r="AK17" s="49"/>
      <c r="AN17" s="18"/>
      <c r="AO17" s="18"/>
      <c r="AP17" s="18"/>
    </row>
    <row r="18" spans="1:42" ht="14.1" customHeight="1" thickTop="1">
      <c r="A18" s="48"/>
      <c r="B18" s="45"/>
      <c r="C18" s="45"/>
      <c r="D18" s="45"/>
      <c r="E18" s="45"/>
      <c r="F18" s="45"/>
      <c r="G18" s="782" t="s">
        <v>149</v>
      </c>
      <c r="H18" s="783"/>
      <c r="I18" s="783"/>
      <c r="J18" s="783"/>
      <c r="K18" s="783"/>
      <c r="L18" s="783"/>
      <c r="M18" s="783"/>
      <c r="N18" s="783"/>
      <c r="O18" s="783"/>
      <c r="P18" s="783"/>
      <c r="Q18" s="783"/>
      <c r="R18" s="783"/>
      <c r="S18" s="784"/>
      <c r="T18" s="789" t="s">
        <v>152</v>
      </c>
      <c r="U18" s="790"/>
      <c r="V18" s="790"/>
      <c r="W18" s="790"/>
      <c r="X18" s="790"/>
      <c r="Y18" s="790"/>
      <c r="Z18" s="790"/>
      <c r="AA18" s="791"/>
      <c r="AB18" s="750" t="s">
        <v>130</v>
      </c>
      <c r="AC18" s="751"/>
      <c r="AD18" s="751"/>
      <c r="AE18" s="752"/>
      <c r="AF18" s="45"/>
      <c r="AG18" s="45"/>
      <c r="AH18" s="45"/>
      <c r="AI18" s="45"/>
      <c r="AJ18" s="45"/>
      <c r="AK18" s="49"/>
      <c r="AN18" s="18"/>
      <c r="AO18" s="18"/>
      <c r="AP18" s="18"/>
    </row>
    <row r="19" spans="1:42" ht="14.1" customHeight="1" thickBot="1">
      <c r="A19" s="48"/>
      <c r="B19" s="45"/>
      <c r="C19" s="45"/>
      <c r="D19" s="45"/>
      <c r="E19" s="45"/>
      <c r="F19" s="45"/>
      <c r="G19" s="785"/>
      <c r="H19" s="786"/>
      <c r="I19" s="786"/>
      <c r="J19" s="786"/>
      <c r="K19" s="786"/>
      <c r="L19" s="786"/>
      <c r="M19" s="786"/>
      <c r="N19" s="786"/>
      <c r="O19" s="786"/>
      <c r="P19" s="786"/>
      <c r="Q19" s="786"/>
      <c r="R19" s="786"/>
      <c r="S19" s="787"/>
      <c r="T19" s="792"/>
      <c r="U19" s="793"/>
      <c r="V19" s="794"/>
      <c r="W19" s="793"/>
      <c r="X19" s="794"/>
      <c r="Y19" s="793"/>
      <c r="Z19" s="795"/>
      <c r="AA19" s="796"/>
      <c r="AB19" s="753"/>
      <c r="AC19" s="754"/>
      <c r="AD19" s="754"/>
      <c r="AE19" s="755"/>
      <c r="AF19" s="45"/>
      <c r="AG19" s="45"/>
      <c r="AH19" s="45"/>
      <c r="AI19" s="45"/>
      <c r="AJ19" s="45"/>
      <c r="AK19" s="49"/>
      <c r="AN19" s="18"/>
      <c r="AO19" s="18"/>
      <c r="AP19" s="18"/>
    </row>
    <row r="20" spans="1:42" ht="8.1" customHeight="1">
      <c r="A20" s="48"/>
      <c r="B20" s="45"/>
      <c r="C20" s="45"/>
      <c r="D20" s="45"/>
      <c r="E20" s="45"/>
      <c r="F20" s="45"/>
      <c r="G20" s="626" t="s">
        <v>150</v>
      </c>
      <c r="H20" s="627"/>
      <c r="I20" s="627"/>
      <c r="J20" s="627"/>
      <c r="K20" s="627"/>
      <c r="L20" s="627"/>
      <c r="M20" s="627"/>
      <c r="N20" s="627"/>
      <c r="O20" s="627"/>
      <c r="P20" s="627"/>
      <c r="Q20" s="627"/>
      <c r="R20" s="627"/>
      <c r="S20" s="777"/>
      <c r="T20" s="771"/>
      <c r="U20" s="772"/>
      <c r="V20" s="772"/>
      <c r="W20" s="772"/>
      <c r="X20" s="772"/>
      <c r="Y20" s="772"/>
      <c r="Z20" s="772"/>
      <c r="AA20" s="775"/>
      <c r="AB20" s="756"/>
      <c r="AC20" s="757"/>
      <c r="AD20" s="757"/>
      <c r="AE20" s="758"/>
      <c r="AF20" s="45"/>
      <c r="AG20" s="45"/>
      <c r="AH20" s="45"/>
      <c r="AI20" s="45"/>
      <c r="AJ20" s="45"/>
      <c r="AK20" s="49"/>
      <c r="AN20" s="18"/>
      <c r="AO20" s="18"/>
      <c r="AP20" s="18"/>
    </row>
    <row r="21" spans="1:42" ht="8.1" customHeight="1">
      <c r="A21" s="48"/>
      <c r="B21" s="45"/>
      <c r="C21" s="45"/>
      <c r="D21" s="45"/>
      <c r="E21" s="45"/>
      <c r="F21" s="45"/>
      <c r="G21" s="629"/>
      <c r="H21" s="630"/>
      <c r="I21" s="630"/>
      <c r="J21" s="630"/>
      <c r="K21" s="630"/>
      <c r="L21" s="630"/>
      <c r="M21" s="630"/>
      <c r="N21" s="630"/>
      <c r="O21" s="630"/>
      <c r="P21" s="630"/>
      <c r="Q21" s="630"/>
      <c r="R21" s="630"/>
      <c r="S21" s="778"/>
      <c r="T21" s="779"/>
      <c r="U21" s="780"/>
      <c r="V21" s="780"/>
      <c r="W21" s="780"/>
      <c r="X21" s="780"/>
      <c r="Y21" s="780"/>
      <c r="Z21" s="780"/>
      <c r="AA21" s="781"/>
      <c r="AB21" s="759"/>
      <c r="AC21" s="760"/>
      <c r="AD21" s="760"/>
      <c r="AE21" s="761"/>
      <c r="AF21" s="45"/>
      <c r="AG21" s="45"/>
      <c r="AH21" s="45"/>
      <c r="AI21" s="45"/>
      <c r="AJ21" s="45"/>
      <c r="AK21" s="49"/>
      <c r="AN21" s="18"/>
      <c r="AO21" s="18"/>
      <c r="AP21" s="18"/>
    </row>
    <row r="22" spans="1:42" ht="8.1" customHeight="1">
      <c r="A22" s="48"/>
      <c r="B22" s="45"/>
      <c r="C22" s="45"/>
      <c r="D22" s="45"/>
      <c r="E22" s="45"/>
      <c r="F22" s="45"/>
      <c r="G22" s="632" t="s">
        <v>151</v>
      </c>
      <c r="H22" s="633"/>
      <c r="I22" s="633"/>
      <c r="J22" s="633"/>
      <c r="K22" s="633"/>
      <c r="L22" s="633"/>
      <c r="M22" s="633"/>
      <c r="N22" s="633"/>
      <c r="O22" s="633"/>
      <c r="P22" s="633"/>
      <c r="Q22" s="633"/>
      <c r="R22" s="633"/>
      <c r="S22" s="769"/>
      <c r="T22" s="771"/>
      <c r="U22" s="772"/>
      <c r="V22" s="772"/>
      <c r="W22" s="772"/>
      <c r="X22" s="772"/>
      <c r="Y22" s="772"/>
      <c r="Z22" s="772"/>
      <c r="AA22" s="775"/>
      <c r="AB22" s="762"/>
      <c r="AC22" s="763"/>
      <c r="AD22" s="763"/>
      <c r="AE22" s="764"/>
      <c r="AF22" s="45"/>
      <c r="AG22" s="45"/>
      <c r="AH22" s="45"/>
      <c r="AI22" s="45"/>
      <c r="AJ22" s="45"/>
      <c r="AK22" s="49"/>
      <c r="AN22" s="18"/>
      <c r="AO22" s="18"/>
      <c r="AP22" s="18"/>
    </row>
    <row r="23" spans="1:42" ht="8.1" customHeight="1" thickBot="1">
      <c r="A23" s="48"/>
      <c r="B23" s="45"/>
      <c r="C23" s="45"/>
      <c r="D23" s="45"/>
      <c r="E23" s="45"/>
      <c r="F23" s="45"/>
      <c r="G23" s="635"/>
      <c r="H23" s="636"/>
      <c r="I23" s="636"/>
      <c r="J23" s="636"/>
      <c r="K23" s="636"/>
      <c r="L23" s="636"/>
      <c r="M23" s="636"/>
      <c r="N23" s="636"/>
      <c r="O23" s="636"/>
      <c r="P23" s="636"/>
      <c r="Q23" s="636"/>
      <c r="R23" s="636"/>
      <c r="S23" s="770"/>
      <c r="T23" s="773"/>
      <c r="U23" s="774"/>
      <c r="V23" s="774"/>
      <c r="W23" s="774"/>
      <c r="X23" s="774"/>
      <c r="Y23" s="774"/>
      <c r="Z23" s="774"/>
      <c r="AA23" s="776"/>
      <c r="AB23" s="765"/>
      <c r="AC23" s="766"/>
      <c r="AD23" s="766"/>
      <c r="AE23" s="767"/>
      <c r="AF23" s="45"/>
      <c r="AG23" s="45"/>
      <c r="AH23" s="45"/>
      <c r="AI23" s="45"/>
      <c r="AJ23" s="45"/>
      <c r="AK23" s="49"/>
      <c r="AN23" s="18"/>
      <c r="AO23" s="18"/>
      <c r="AP23" s="18"/>
    </row>
    <row r="24" spans="1:42" ht="15" customHeight="1" thickTop="1">
      <c r="A24" s="48"/>
      <c r="B24" s="45"/>
      <c r="C24" s="768" t="str">
        <f>IF('Warrant 1'!AN18=1,C77,C75)</f>
        <v>FIGURE W-4a:  Criteria for 100% Volume Level, Four-Hour Volumes</v>
      </c>
      <c r="D24" s="768"/>
      <c r="E24" s="768"/>
      <c r="F24" s="768"/>
      <c r="G24" s="768"/>
      <c r="H24" s="768"/>
      <c r="I24" s="768"/>
      <c r="J24" s="768"/>
      <c r="K24" s="768"/>
      <c r="L24" s="768"/>
      <c r="M24" s="768"/>
      <c r="N24" s="768"/>
      <c r="O24" s="768"/>
      <c r="P24" s="768"/>
      <c r="Q24" s="768"/>
      <c r="R24" s="768"/>
      <c r="S24" s="768"/>
      <c r="T24" s="768"/>
      <c r="U24" s="768"/>
      <c r="V24" s="768"/>
      <c r="W24" s="768"/>
      <c r="X24" s="768"/>
      <c r="Y24" s="768"/>
      <c r="Z24" s="768"/>
      <c r="AA24" s="768"/>
      <c r="AB24" s="768"/>
      <c r="AC24" s="768"/>
      <c r="AD24" s="768"/>
      <c r="AE24" s="768"/>
      <c r="AF24" s="768"/>
      <c r="AG24" s="768"/>
      <c r="AH24" s="768"/>
      <c r="AI24" s="768"/>
      <c r="AJ24" s="45"/>
      <c r="AK24" s="49"/>
      <c r="AN24" s="18"/>
      <c r="AO24" s="18"/>
      <c r="AP24" s="18"/>
    </row>
    <row r="25" spans="1:42" ht="15" customHeight="1">
      <c r="A25" s="48"/>
      <c r="B25" s="45"/>
      <c r="C25" s="768"/>
      <c r="D25" s="768"/>
      <c r="E25" s="768"/>
      <c r="F25" s="768"/>
      <c r="G25" s="768"/>
      <c r="H25" s="768"/>
      <c r="I25" s="768"/>
      <c r="J25" s="768"/>
      <c r="K25" s="768"/>
      <c r="L25" s="768"/>
      <c r="M25" s="768"/>
      <c r="N25" s="768"/>
      <c r="O25" s="768"/>
      <c r="P25" s="768"/>
      <c r="Q25" s="768"/>
      <c r="R25" s="768"/>
      <c r="S25" s="768"/>
      <c r="T25" s="768"/>
      <c r="U25" s="768"/>
      <c r="V25" s="768"/>
      <c r="W25" s="768"/>
      <c r="X25" s="768"/>
      <c r="Y25" s="768"/>
      <c r="Z25" s="768"/>
      <c r="AA25" s="768"/>
      <c r="AB25" s="768"/>
      <c r="AC25" s="768"/>
      <c r="AD25" s="768"/>
      <c r="AE25" s="768"/>
      <c r="AF25" s="768"/>
      <c r="AG25" s="768"/>
      <c r="AH25" s="768"/>
      <c r="AI25" s="768"/>
      <c r="AJ25" s="45"/>
      <c r="AK25" s="49"/>
      <c r="AN25" s="18"/>
      <c r="AO25" s="18"/>
      <c r="AP25" s="18"/>
    </row>
    <row r="26" spans="1:42" ht="12" customHeight="1">
      <c r="A26" s="48"/>
      <c r="B26" s="45"/>
      <c r="C26" s="45"/>
      <c r="D26" s="45"/>
      <c r="E26" s="45"/>
      <c r="F26" s="45"/>
      <c r="G26" s="45"/>
      <c r="H26" s="45"/>
      <c r="I26" s="45"/>
      <c r="J26" s="45"/>
      <c r="K26" s="45"/>
      <c r="L26" s="45"/>
      <c r="M26" s="45"/>
      <c r="N26" s="45"/>
      <c r="O26" s="45"/>
      <c r="P26" s="45"/>
      <c r="Q26" s="45"/>
      <c r="R26" s="45"/>
      <c r="S26" s="45"/>
      <c r="T26" s="45"/>
      <c r="U26" s="45"/>
      <c r="V26" s="45"/>
      <c r="W26" s="45"/>
      <c r="X26" s="45"/>
      <c r="Y26" s="45"/>
      <c r="Z26" s="45"/>
      <c r="AA26" s="45"/>
      <c r="AB26" s="45"/>
      <c r="AC26" s="45"/>
      <c r="AD26" s="45"/>
      <c r="AE26" s="45"/>
      <c r="AF26" s="45"/>
      <c r="AG26" s="45"/>
      <c r="AH26" s="45"/>
      <c r="AI26" s="45"/>
      <c r="AJ26" s="45"/>
      <c r="AK26" s="49"/>
      <c r="AN26" s="18">
        <f ca="1">IF(W4Calc!G36&gt;=4,1,0)</f>
        <v>0</v>
      </c>
      <c r="AO26" s="18"/>
      <c r="AP26" s="18"/>
    </row>
    <row r="27" spans="1:42" ht="12" customHeight="1">
      <c r="A27" s="48"/>
      <c r="B27" s="45"/>
      <c r="C27" s="45"/>
      <c r="D27" s="45"/>
      <c r="E27" s="45"/>
      <c r="F27" s="45"/>
      <c r="G27" s="45"/>
      <c r="H27" s="45"/>
      <c r="I27" s="45"/>
      <c r="J27" s="45"/>
      <c r="K27" s="45"/>
      <c r="L27" s="45"/>
      <c r="M27" s="45"/>
      <c r="N27" s="45"/>
      <c r="O27" s="45"/>
      <c r="P27" s="45"/>
      <c r="Q27" s="45"/>
      <c r="R27" s="45"/>
      <c r="S27" s="45"/>
      <c r="T27" s="45"/>
      <c r="U27" s="45"/>
      <c r="V27" s="45"/>
      <c r="W27" s="45"/>
      <c r="X27" s="45"/>
      <c r="Y27" s="45"/>
      <c r="Z27" s="45"/>
      <c r="AA27" s="45"/>
      <c r="AB27" s="45"/>
      <c r="AC27" s="45"/>
      <c r="AD27" s="45"/>
      <c r="AE27" s="45"/>
      <c r="AF27" s="45"/>
      <c r="AG27" s="45"/>
      <c r="AH27" s="45"/>
      <c r="AI27" s="45"/>
      <c r="AJ27" s="45"/>
      <c r="AK27" s="49"/>
      <c r="AN27" s="18"/>
      <c r="AO27" s="18"/>
      <c r="AP27" s="18"/>
    </row>
    <row r="28" spans="1:42" ht="12" customHeight="1">
      <c r="A28" s="48"/>
      <c r="B28" s="45"/>
      <c r="C28" s="45"/>
      <c r="D28" s="45"/>
      <c r="E28" s="45"/>
      <c r="F28" s="45"/>
      <c r="G28" s="45"/>
      <c r="H28" s="45"/>
      <c r="I28" s="45"/>
      <c r="J28" s="45"/>
      <c r="K28" s="45"/>
      <c r="L28" s="45"/>
      <c r="M28" s="45"/>
      <c r="N28" s="45"/>
      <c r="O28" s="45"/>
      <c r="P28" s="45"/>
      <c r="Q28" s="45"/>
      <c r="R28" s="45"/>
      <c r="S28" s="45"/>
      <c r="T28" s="45"/>
      <c r="U28" s="45"/>
      <c r="V28" s="45"/>
      <c r="W28" s="45"/>
      <c r="X28" s="45"/>
      <c r="Y28" s="45"/>
      <c r="Z28" s="45"/>
      <c r="AA28" s="45"/>
      <c r="AB28" s="45"/>
      <c r="AC28" s="45"/>
      <c r="AD28" s="45"/>
      <c r="AE28" s="45"/>
      <c r="AF28" s="45"/>
      <c r="AG28" s="45"/>
      <c r="AH28" s="45"/>
      <c r="AI28" s="45"/>
      <c r="AJ28" s="45"/>
      <c r="AK28" s="49"/>
      <c r="AN28" s="18"/>
      <c r="AO28" s="18"/>
      <c r="AP28" s="18"/>
    </row>
    <row r="29" spans="1:42" ht="12" customHeight="1">
      <c r="A29" s="48"/>
      <c r="B29" s="45"/>
      <c r="C29" s="45"/>
      <c r="D29" s="45"/>
      <c r="E29" s="45"/>
      <c r="F29" s="45"/>
      <c r="G29" s="45"/>
      <c r="H29" s="45"/>
      <c r="I29" s="45"/>
      <c r="J29" s="45"/>
      <c r="K29" s="45"/>
      <c r="L29" s="45"/>
      <c r="M29" s="45"/>
      <c r="N29" s="45"/>
      <c r="O29" s="45"/>
      <c r="P29" s="45"/>
      <c r="Q29" s="45"/>
      <c r="R29" s="45"/>
      <c r="S29" s="45"/>
      <c r="T29" s="45"/>
      <c r="U29" s="45"/>
      <c r="V29" s="45"/>
      <c r="W29" s="45"/>
      <c r="X29" s="45"/>
      <c r="Y29" s="45"/>
      <c r="Z29" s="45"/>
      <c r="AA29" s="45"/>
      <c r="AB29" s="45"/>
      <c r="AC29" s="45"/>
      <c r="AD29" s="45"/>
      <c r="AE29" s="45"/>
      <c r="AF29" s="45"/>
      <c r="AG29" s="45"/>
      <c r="AH29" s="45"/>
      <c r="AI29" s="45"/>
      <c r="AJ29" s="45"/>
      <c r="AK29" s="49"/>
      <c r="AN29" s="18"/>
      <c r="AO29" s="18"/>
      <c r="AP29" s="18"/>
    </row>
    <row r="30" spans="1:42" ht="12" customHeight="1">
      <c r="A30" s="48"/>
      <c r="B30" s="45"/>
      <c r="C30" s="45"/>
      <c r="D30" s="45"/>
      <c r="E30" s="45"/>
      <c r="F30" s="45"/>
      <c r="G30" s="45"/>
      <c r="H30" s="45"/>
      <c r="I30" s="45"/>
      <c r="J30" s="45"/>
      <c r="K30" s="45"/>
      <c r="L30" s="45"/>
      <c r="M30" s="45"/>
      <c r="N30" s="45"/>
      <c r="O30" s="45"/>
      <c r="P30" s="45"/>
      <c r="Q30" s="45"/>
      <c r="R30" s="45"/>
      <c r="S30" s="45"/>
      <c r="T30" s="45"/>
      <c r="U30" s="45"/>
      <c r="V30" s="45"/>
      <c r="W30" s="45"/>
      <c r="X30" s="45"/>
      <c r="Y30" s="45"/>
      <c r="Z30" s="45"/>
      <c r="AA30" s="45"/>
      <c r="AB30" s="45"/>
      <c r="AC30" s="45"/>
      <c r="AD30" s="45"/>
      <c r="AE30" s="45"/>
      <c r="AF30" s="45"/>
      <c r="AG30" s="45"/>
      <c r="AH30" s="45"/>
      <c r="AI30" s="45"/>
      <c r="AJ30" s="45"/>
      <c r="AK30" s="49"/>
      <c r="AN30" s="18"/>
      <c r="AO30" s="18"/>
      <c r="AP30" s="18"/>
    </row>
    <row r="31" spans="1:42" ht="12" customHeight="1">
      <c r="A31" s="48"/>
      <c r="B31" s="45"/>
      <c r="C31" s="45"/>
      <c r="D31" s="45"/>
      <c r="E31" s="45"/>
      <c r="F31" s="45"/>
      <c r="G31" s="45"/>
      <c r="H31" s="45"/>
      <c r="I31" s="45"/>
      <c r="J31" s="45"/>
      <c r="K31" s="45"/>
      <c r="L31" s="45"/>
      <c r="M31" s="45"/>
      <c r="N31" s="45"/>
      <c r="O31" s="45"/>
      <c r="P31" s="45"/>
      <c r="Q31" s="45"/>
      <c r="R31" s="45"/>
      <c r="S31" s="45"/>
      <c r="T31" s="45"/>
      <c r="U31" s="45"/>
      <c r="V31" s="45"/>
      <c r="W31" s="45"/>
      <c r="X31" s="45"/>
      <c r="Y31" s="45"/>
      <c r="Z31" s="45"/>
      <c r="AA31" s="45"/>
      <c r="AB31" s="45"/>
      <c r="AC31" s="45"/>
      <c r="AD31" s="45"/>
      <c r="AE31" s="45"/>
      <c r="AF31" s="45"/>
      <c r="AG31" s="45"/>
      <c r="AH31" s="45"/>
      <c r="AI31" s="45"/>
      <c r="AJ31" s="45"/>
      <c r="AK31" s="49"/>
      <c r="AN31" s="18"/>
      <c r="AO31" s="18"/>
      <c r="AP31" s="18"/>
    </row>
    <row r="32" spans="1:42" ht="12" customHeight="1">
      <c r="A32" s="48"/>
      <c r="B32" s="45"/>
      <c r="C32" s="45"/>
      <c r="D32" s="45"/>
      <c r="E32" s="45"/>
      <c r="F32" s="45"/>
      <c r="G32" s="45"/>
      <c r="H32" s="45"/>
      <c r="I32" s="45"/>
      <c r="J32" s="45"/>
      <c r="K32" s="45"/>
      <c r="L32" s="45"/>
      <c r="M32" s="45"/>
      <c r="N32" s="45"/>
      <c r="O32" s="45"/>
      <c r="P32" s="45"/>
      <c r="Q32" s="45"/>
      <c r="R32" s="45"/>
      <c r="S32" s="45"/>
      <c r="T32" s="45"/>
      <c r="U32" s="45"/>
      <c r="V32" s="45"/>
      <c r="W32" s="45"/>
      <c r="X32" s="45"/>
      <c r="Y32" s="45"/>
      <c r="Z32" s="45"/>
      <c r="AA32" s="45"/>
      <c r="AB32" s="45"/>
      <c r="AC32" s="45"/>
      <c r="AD32" s="45"/>
      <c r="AE32" s="45"/>
      <c r="AF32" s="45"/>
      <c r="AG32" s="45"/>
      <c r="AH32" s="45"/>
      <c r="AI32" s="45"/>
      <c r="AJ32" s="45"/>
      <c r="AK32" s="49"/>
      <c r="AN32" s="18"/>
      <c r="AO32" s="18"/>
      <c r="AP32" s="18"/>
    </row>
    <row r="33" spans="1:42" ht="14.1" customHeight="1">
      <c r="A33" s="48"/>
      <c r="B33" s="45"/>
      <c r="C33" s="45"/>
      <c r="D33" s="45"/>
      <c r="E33" s="45"/>
      <c r="F33" s="45"/>
      <c r="G33" s="45"/>
      <c r="H33" s="45"/>
      <c r="I33" s="45"/>
      <c r="J33" s="45"/>
      <c r="K33" s="45"/>
      <c r="L33" s="45"/>
      <c r="M33" s="45"/>
      <c r="N33" s="45"/>
      <c r="O33" s="45"/>
      <c r="P33" s="45"/>
      <c r="Q33" s="45"/>
      <c r="R33" s="45"/>
      <c r="S33" s="45"/>
      <c r="T33" s="45"/>
      <c r="U33" s="45"/>
      <c r="V33" s="45"/>
      <c r="W33" s="45"/>
      <c r="X33" s="45"/>
      <c r="Y33" s="45"/>
      <c r="Z33" s="45"/>
      <c r="AA33" s="45"/>
      <c r="AB33" s="45"/>
      <c r="AC33" s="45"/>
      <c r="AD33" s="45"/>
      <c r="AE33" s="45"/>
      <c r="AF33" s="45"/>
      <c r="AG33" s="45"/>
      <c r="AH33" s="45"/>
      <c r="AI33" s="45"/>
      <c r="AJ33" s="45"/>
      <c r="AK33" s="49"/>
      <c r="AN33" s="18"/>
      <c r="AO33" s="18"/>
      <c r="AP33" s="18"/>
    </row>
    <row r="34" spans="1:42" ht="14.1" customHeight="1">
      <c r="A34" s="48"/>
      <c r="B34" s="45"/>
      <c r="C34" s="45"/>
      <c r="D34" s="45"/>
      <c r="E34" s="45"/>
      <c r="F34" s="45"/>
      <c r="G34" s="45"/>
      <c r="H34" s="45"/>
      <c r="I34" s="45"/>
      <c r="J34" s="45"/>
      <c r="K34" s="45"/>
      <c r="L34" s="45"/>
      <c r="M34" s="45"/>
      <c r="N34" s="45"/>
      <c r="O34" s="45"/>
      <c r="P34" s="45"/>
      <c r="Q34" s="45"/>
      <c r="R34" s="45"/>
      <c r="S34" s="45"/>
      <c r="T34" s="45"/>
      <c r="U34" s="45"/>
      <c r="V34" s="45"/>
      <c r="W34" s="45"/>
      <c r="X34" s="45"/>
      <c r="Y34" s="45"/>
      <c r="Z34" s="45"/>
      <c r="AA34" s="45"/>
      <c r="AB34" s="45"/>
      <c r="AC34" s="45"/>
      <c r="AD34" s="45"/>
      <c r="AE34" s="45"/>
      <c r="AF34" s="45"/>
      <c r="AG34" s="45"/>
      <c r="AH34" s="45"/>
      <c r="AI34" s="45"/>
      <c r="AJ34" s="45"/>
      <c r="AK34" s="49"/>
      <c r="AN34" s="18"/>
      <c r="AO34" s="18"/>
      <c r="AP34" s="18"/>
    </row>
    <row r="35" spans="1:42" ht="12" customHeight="1">
      <c r="A35" s="48"/>
      <c r="B35" s="45"/>
      <c r="C35" s="45"/>
      <c r="D35" s="45"/>
      <c r="E35" s="45"/>
      <c r="F35" s="45"/>
      <c r="G35" s="45"/>
      <c r="H35" s="45"/>
      <c r="I35" s="45"/>
      <c r="J35" s="45"/>
      <c r="K35" s="45"/>
      <c r="L35" s="45"/>
      <c r="M35" s="45"/>
      <c r="N35" s="45"/>
      <c r="O35" s="45"/>
      <c r="P35" s="45"/>
      <c r="Q35" s="45"/>
      <c r="R35" s="45"/>
      <c r="S35" s="45"/>
      <c r="T35" s="45"/>
      <c r="U35" s="45"/>
      <c r="V35" s="45"/>
      <c r="W35" s="45"/>
      <c r="X35" s="45"/>
      <c r="Y35" s="45"/>
      <c r="Z35" s="45"/>
      <c r="AA35" s="45"/>
      <c r="AB35" s="45"/>
      <c r="AC35" s="45"/>
      <c r="AD35" s="45"/>
      <c r="AE35" s="45"/>
      <c r="AF35" s="45"/>
      <c r="AG35" s="45"/>
      <c r="AH35" s="45"/>
      <c r="AI35" s="45"/>
      <c r="AJ35" s="45"/>
      <c r="AK35" s="49"/>
      <c r="AN35" s="18"/>
      <c r="AO35" s="18"/>
      <c r="AP35" s="18"/>
    </row>
    <row r="36" spans="1:42" ht="12" customHeight="1">
      <c r="A36" s="48"/>
      <c r="B36" s="45"/>
      <c r="C36" s="45"/>
      <c r="D36" s="45"/>
      <c r="E36" s="45"/>
      <c r="F36" s="45"/>
      <c r="G36" s="45"/>
      <c r="H36" s="45"/>
      <c r="I36" s="45"/>
      <c r="J36" s="45"/>
      <c r="K36" s="45"/>
      <c r="L36" s="45"/>
      <c r="M36" s="45"/>
      <c r="N36" s="45"/>
      <c r="O36" s="45"/>
      <c r="P36" s="45"/>
      <c r="Q36" s="45"/>
      <c r="R36" s="45"/>
      <c r="S36" s="45"/>
      <c r="T36" s="45"/>
      <c r="U36" s="45"/>
      <c r="V36" s="45"/>
      <c r="W36" s="45"/>
      <c r="X36" s="45"/>
      <c r="Y36" s="45"/>
      <c r="Z36" s="45"/>
      <c r="AA36" s="45"/>
      <c r="AB36" s="45"/>
      <c r="AC36" s="45"/>
      <c r="AD36" s="45"/>
      <c r="AE36" s="45"/>
      <c r="AF36" s="45"/>
      <c r="AG36" s="45"/>
      <c r="AH36" s="45"/>
      <c r="AI36" s="45"/>
      <c r="AJ36" s="45"/>
      <c r="AK36" s="49"/>
      <c r="AN36" s="18"/>
      <c r="AO36" s="18"/>
      <c r="AP36" s="18"/>
    </row>
    <row r="37" spans="1:42" ht="12" customHeight="1">
      <c r="A37" s="48"/>
      <c r="B37" s="45"/>
      <c r="C37" s="45"/>
      <c r="D37" s="45"/>
      <c r="E37" s="45"/>
      <c r="F37" s="45"/>
      <c r="G37" s="45"/>
      <c r="H37" s="45"/>
      <c r="I37" s="45"/>
      <c r="J37" s="45"/>
      <c r="K37" s="45"/>
      <c r="L37" s="45"/>
      <c r="M37" s="45"/>
      <c r="N37" s="45"/>
      <c r="O37" s="45"/>
      <c r="P37" s="45"/>
      <c r="Q37" s="45"/>
      <c r="R37" s="45"/>
      <c r="S37" s="45"/>
      <c r="T37" s="45"/>
      <c r="U37" s="45"/>
      <c r="V37" s="45"/>
      <c r="W37" s="45"/>
      <c r="X37" s="45"/>
      <c r="Y37" s="45"/>
      <c r="Z37" s="45"/>
      <c r="AA37" s="45"/>
      <c r="AB37" s="45"/>
      <c r="AC37" s="45"/>
      <c r="AD37" s="45"/>
      <c r="AE37" s="45"/>
      <c r="AF37" s="45"/>
      <c r="AG37" s="45"/>
      <c r="AH37" s="45"/>
      <c r="AI37" s="45"/>
      <c r="AJ37" s="45"/>
      <c r="AK37" s="49"/>
      <c r="AN37" s="18"/>
      <c r="AO37" s="18"/>
      <c r="AP37" s="18"/>
    </row>
    <row r="38" spans="1:42" ht="12" customHeight="1">
      <c r="A38" s="48"/>
      <c r="B38" s="45"/>
      <c r="C38" s="45"/>
      <c r="D38" s="45"/>
      <c r="E38" s="45"/>
      <c r="F38" s="45"/>
      <c r="G38" s="45"/>
      <c r="H38" s="45"/>
      <c r="I38" s="45"/>
      <c r="J38" s="45"/>
      <c r="K38" s="45"/>
      <c r="L38" s="45"/>
      <c r="M38" s="45"/>
      <c r="N38" s="45"/>
      <c r="O38" s="45"/>
      <c r="P38" s="45"/>
      <c r="Q38" s="45"/>
      <c r="R38" s="45"/>
      <c r="S38" s="45"/>
      <c r="T38" s="45"/>
      <c r="U38" s="45"/>
      <c r="V38" s="45"/>
      <c r="W38" s="45"/>
      <c r="X38" s="45"/>
      <c r="Y38" s="45"/>
      <c r="Z38" s="45"/>
      <c r="AA38" s="45"/>
      <c r="AB38" s="45"/>
      <c r="AC38" s="45"/>
      <c r="AD38" s="45"/>
      <c r="AE38" s="45"/>
      <c r="AF38" s="45"/>
      <c r="AG38" s="45"/>
      <c r="AH38" s="45"/>
      <c r="AI38" s="45"/>
      <c r="AJ38" s="45"/>
      <c r="AK38" s="49"/>
      <c r="AN38" s="18"/>
      <c r="AO38" s="18"/>
      <c r="AP38" s="18"/>
    </row>
    <row r="39" spans="1:42" ht="12" customHeight="1">
      <c r="A39" s="48"/>
      <c r="B39" s="45"/>
      <c r="C39" s="45"/>
      <c r="D39" s="45"/>
      <c r="E39" s="45"/>
      <c r="F39" s="45"/>
      <c r="G39" s="45"/>
      <c r="H39" s="45"/>
      <c r="I39" s="45"/>
      <c r="J39" s="45"/>
      <c r="K39" s="45"/>
      <c r="L39" s="45"/>
      <c r="M39" s="45"/>
      <c r="N39" s="45"/>
      <c r="O39" s="45"/>
      <c r="P39" s="45"/>
      <c r="Q39" s="45"/>
      <c r="R39" s="45"/>
      <c r="S39" s="45"/>
      <c r="T39" s="45"/>
      <c r="U39" s="45"/>
      <c r="V39" s="45"/>
      <c r="W39" s="45"/>
      <c r="X39" s="45"/>
      <c r="Y39" s="45"/>
      <c r="Z39" s="45"/>
      <c r="AA39" s="45"/>
      <c r="AB39" s="45"/>
      <c r="AC39" s="45"/>
      <c r="AD39" s="45"/>
      <c r="AE39" s="45"/>
      <c r="AF39" s="45"/>
      <c r="AG39" s="45"/>
      <c r="AH39" s="45"/>
      <c r="AI39" s="45"/>
      <c r="AJ39" s="45"/>
      <c r="AK39" s="49"/>
      <c r="AN39" s="18"/>
      <c r="AO39" s="18"/>
      <c r="AP39" s="18"/>
    </row>
    <row r="40" spans="1:42" ht="12" customHeight="1">
      <c r="A40" s="48"/>
      <c r="B40" s="45"/>
      <c r="C40" s="45"/>
      <c r="D40" s="45"/>
      <c r="E40" s="45"/>
      <c r="F40" s="45"/>
      <c r="G40" s="45"/>
      <c r="H40" s="45"/>
      <c r="I40" s="45"/>
      <c r="J40" s="45"/>
      <c r="K40" s="45"/>
      <c r="L40" s="45"/>
      <c r="M40" s="45"/>
      <c r="N40" s="45"/>
      <c r="O40" s="45"/>
      <c r="P40" s="45"/>
      <c r="Q40" s="45"/>
      <c r="R40" s="45"/>
      <c r="S40" s="45"/>
      <c r="T40" s="45"/>
      <c r="U40" s="45"/>
      <c r="V40" s="45"/>
      <c r="W40" s="45"/>
      <c r="X40" s="45"/>
      <c r="Y40" s="45"/>
      <c r="Z40" s="45"/>
      <c r="AA40" s="45"/>
      <c r="AB40" s="45"/>
      <c r="AC40" s="45"/>
      <c r="AD40" s="45"/>
      <c r="AE40" s="45"/>
      <c r="AF40" s="45"/>
      <c r="AG40" s="45"/>
      <c r="AH40" s="45"/>
      <c r="AI40" s="45"/>
      <c r="AJ40" s="45"/>
      <c r="AK40" s="49"/>
      <c r="AN40" s="18"/>
      <c r="AO40" s="18"/>
      <c r="AP40" s="18"/>
    </row>
    <row r="41" spans="1:42" ht="12" customHeight="1">
      <c r="A41" s="48"/>
      <c r="B41" s="45"/>
      <c r="C41" s="45"/>
      <c r="D41" s="45"/>
      <c r="E41" s="45"/>
      <c r="F41" s="45"/>
      <c r="G41" s="45"/>
      <c r="H41" s="45"/>
      <c r="I41" s="45"/>
      <c r="J41" s="45"/>
      <c r="K41" s="45"/>
      <c r="L41" s="45"/>
      <c r="M41" s="45"/>
      <c r="N41" s="45"/>
      <c r="O41" s="45"/>
      <c r="P41" s="45"/>
      <c r="Q41" s="45"/>
      <c r="R41" s="45"/>
      <c r="S41" s="45"/>
      <c r="T41" s="45"/>
      <c r="U41" s="45"/>
      <c r="V41" s="45"/>
      <c r="W41" s="45"/>
      <c r="X41" s="45"/>
      <c r="Y41" s="45"/>
      <c r="Z41" s="45"/>
      <c r="AA41" s="45"/>
      <c r="AB41" s="45"/>
      <c r="AC41" s="45"/>
      <c r="AD41" s="45"/>
      <c r="AE41" s="45"/>
      <c r="AF41" s="45"/>
      <c r="AG41" s="45"/>
      <c r="AH41" s="45"/>
      <c r="AI41" s="45"/>
      <c r="AJ41" s="45"/>
      <c r="AK41" s="49"/>
      <c r="AN41" s="18"/>
      <c r="AO41" s="18"/>
      <c r="AP41" s="18"/>
    </row>
    <row r="42" spans="1:42" ht="12" customHeight="1">
      <c r="A42" s="48"/>
      <c r="B42" s="45"/>
      <c r="C42" s="45"/>
      <c r="D42" s="45"/>
      <c r="E42" s="45"/>
      <c r="F42" s="45"/>
      <c r="G42" s="45"/>
      <c r="H42" s="45"/>
      <c r="I42" s="45"/>
      <c r="J42" s="45"/>
      <c r="K42" s="45"/>
      <c r="L42" s="45"/>
      <c r="M42" s="45"/>
      <c r="N42" s="45"/>
      <c r="O42" s="45"/>
      <c r="P42" s="45"/>
      <c r="Q42" s="45"/>
      <c r="R42" s="45"/>
      <c r="S42" s="45"/>
      <c r="T42" s="45"/>
      <c r="U42" s="45"/>
      <c r="V42" s="45"/>
      <c r="W42" s="45"/>
      <c r="X42" s="45"/>
      <c r="Y42" s="45"/>
      <c r="Z42" s="45"/>
      <c r="AA42" s="45"/>
      <c r="AB42" s="45"/>
      <c r="AC42" s="45"/>
      <c r="AD42" s="45"/>
      <c r="AE42" s="45"/>
      <c r="AF42" s="45"/>
      <c r="AG42" s="45"/>
      <c r="AH42" s="45"/>
      <c r="AI42" s="45"/>
      <c r="AJ42" s="45"/>
      <c r="AK42" s="49"/>
      <c r="AN42" s="18"/>
      <c r="AO42" s="18"/>
      <c r="AP42" s="18"/>
    </row>
    <row r="43" spans="1:42" ht="12" customHeight="1">
      <c r="A43" s="48"/>
      <c r="B43" s="45"/>
      <c r="C43" s="45"/>
      <c r="D43" s="45"/>
      <c r="E43" s="45"/>
      <c r="F43" s="45"/>
      <c r="G43" s="45"/>
      <c r="H43" s="45"/>
      <c r="I43" s="45"/>
      <c r="J43" s="45"/>
      <c r="K43" s="45"/>
      <c r="L43" s="45"/>
      <c r="M43" s="45"/>
      <c r="N43" s="45"/>
      <c r="O43" s="45"/>
      <c r="P43" s="45"/>
      <c r="Q43" s="45"/>
      <c r="R43" s="45"/>
      <c r="S43" s="45"/>
      <c r="T43" s="45"/>
      <c r="U43" s="45"/>
      <c r="V43" s="45"/>
      <c r="W43" s="45"/>
      <c r="X43" s="45"/>
      <c r="Y43" s="45"/>
      <c r="Z43" s="45"/>
      <c r="AA43" s="45"/>
      <c r="AB43" s="45"/>
      <c r="AC43" s="45"/>
      <c r="AD43" s="45"/>
      <c r="AE43" s="45"/>
      <c r="AF43" s="45"/>
      <c r="AG43" s="45"/>
      <c r="AH43" s="45"/>
      <c r="AI43" s="45"/>
      <c r="AJ43" s="45"/>
      <c r="AK43" s="49"/>
      <c r="AN43" s="18"/>
      <c r="AO43" s="18"/>
      <c r="AP43" s="18"/>
    </row>
    <row r="44" spans="1:42" ht="12" customHeight="1">
      <c r="A44" s="48"/>
      <c r="B44" s="45"/>
      <c r="C44" s="45"/>
      <c r="D44" s="45"/>
      <c r="E44" s="45"/>
      <c r="F44" s="45"/>
      <c r="G44" s="400" t="s">
        <v>81</v>
      </c>
      <c r="H44" s="401" t="s">
        <v>232</v>
      </c>
      <c r="I44" s="45"/>
      <c r="J44" s="45"/>
      <c r="K44" s="45"/>
      <c r="L44" s="45"/>
      <c r="M44" s="45"/>
      <c r="N44" s="45"/>
      <c r="O44" s="45"/>
      <c r="P44" s="45"/>
      <c r="Q44" s="45"/>
      <c r="R44" s="45"/>
      <c r="S44" s="45"/>
      <c r="T44" s="45"/>
      <c r="U44" s="45"/>
      <c r="V44" s="45"/>
      <c r="W44" s="45"/>
      <c r="X44" s="45"/>
      <c r="Y44" s="45"/>
      <c r="Z44" s="45"/>
      <c r="AA44" s="45"/>
      <c r="AB44" s="45"/>
      <c r="AC44" s="45"/>
      <c r="AD44" s="45"/>
      <c r="AE44" s="45"/>
      <c r="AF44" s="45"/>
      <c r="AG44" s="45"/>
      <c r="AH44" s="45"/>
      <c r="AI44" s="45"/>
      <c r="AJ44" s="45"/>
      <c r="AK44" s="49"/>
      <c r="AN44" s="18"/>
      <c r="AO44" s="18"/>
      <c r="AP44" s="18"/>
    </row>
    <row r="45" spans="1:42" ht="12" customHeight="1">
      <c r="A45" s="48"/>
      <c r="B45" s="45"/>
      <c r="C45" s="45"/>
      <c r="D45" s="45"/>
      <c r="E45" s="45"/>
      <c r="F45" s="45"/>
      <c r="G45" s="74"/>
      <c r="H45" s="401" t="s">
        <v>231</v>
      </c>
      <c r="I45" s="45"/>
      <c r="J45" s="45"/>
      <c r="K45" s="45"/>
      <c r="L45" s="45"/>
      <c r="M45" s="45"/>
      <c r="N45" s="45"/>
      <c r="O45" s="45"/>
      <c r="P45" s="45"/>
      <c r="Q45" s="45"/>
      <c r="R45" s="45"/>
      <c r="S45" s="45"/>
      <c r="T45" s="45"/>
      <c r="U45" s="45"/>
      <c r="V45" s="45"/>
      <c r="W45" s="45"/>
      <c r="X45" s="45"/>
      <c r="Y45" s="45"/>
      <c r="Z45" s="45"/>
      <c r="AA45" s="45"/>
      <c r="AB45" s="45"/>
      <c r="AC45" s="45"/>
      <c r="AD45" s="45"/>
      <c r="AE45" s="45"/>
      <c r="AF45" s="45"/>
      <c r="AG45" s="45"/>
      <c r="AH45" s="45"/>
      <c r="AI45" s="45"/>
      <c r="AJ45" s="45"/>
      <c r="AK45" s="49"/>
      <c r="AN45" s="18"/>
      <c r="AO45" s="18"/>
      <c r="AP45" s="18"/>
    </row>
    <row r="46" spans="1:42" ht="6" customHeight="1">
      <c r="A46" s="48"/>
      <c r="B46" s="45"/>
      <c r="C46" s="45"/>
      <c r="D46" s="45"/>
      <c r="E46" s="45"/>
      <c r="F46" s="45"/>
      <c r="G46" s="45"/>
      <c r="H46" s="45"/>
      <c r="I46" s="45"/>
      <c r="J46" s="45"/>
      <c r="K46" s="45"/>
      <c r="L46" s="45"/>
      <c r="M46" s="45"/>
      <c r="N46" s="45"/>
      <c r="O46" s="45"/>
      <c r="P46" s="45"/>
      <c r="Q46" s="45"/>
      <c r="R46" s="45"/>
      <c r="S46" s="45"/>
      <c r="T46" s="45"/>
      <c r="U46" s="45"/>
      <c r="V46" s="45"/>
      <c r="W46" s="45"/>
      <c r="X46" s="45"/>
      <c r="Y46" s="45"/>
      <c r="Z46" s="45"/>
      <c r="AA46" s="45"/>
      <c r="AB46" s="45"/>
      <c r="AC46" s="45"/>
      <c r="AD46" s="45"/>
      <c r="AE46" s="45"/>
      <c r="AF46" s="45"/>
      <c r="AG46" s="45"/>
      <c r="AH46" s="45"/>
      <c r="AI46" s="45"/>
      <c r="AJ46" s="45"/>
      <c r="AK46" s="49"/>
      <c r="AN46" s="18"/>
      <c r="AO46" s="18"/>
      <c r="AP46" s="18"/>
    </row>
    <row r="47" spans="1:42" ht="12" customHeight="1">
      <c r="A47" s="48"/>
      <c r="B47" s="45"/>
      <c r="C47" s="768" t="str">
        <f>IF('Warrant 1'!AN18=1,C82,C80)</f>
        <v>FIGURE W-4b:  Criteria for 100% Volume Level, Peak Hour Volume</v>
      </c>
      <c r="D47" s="768"/>
      <c r="E47" s="768"/>
      <c r="F47" s="768"/>
      <c r="G47" s="768"/>
      <c r="H47" s="768"/>
      <c r="I47" s="768"/>
      <c r="J47" s="768"/>
      <c r="K47" s="768"/>
      <c r="L47" s="768"/>
      <c r="M47" s="768"/>
      <c r="N47" s="768"/>
      <c r="O47" s="768"/>
      <c r="P47" s="768"/>
      <c r="Q47" s="768"/>
      <c r="R47" s="768"/>
      <c r="S47" s="768"/>
      <c r="T47" s="768"/>
      <c r="U47" s="768"/>
      <c r="V47" s="768"/>
      <c r="W47" s="768"/>
      <c r="X47" s="768"/>
      <c r="Y47" s="768"/>
      <c r="Z47" s="768"/>
      <c r="AA47" s="768"/>
      <c r="AB47" s="768"/>
      <c r="AC47" s="768"/>
      <c r="AD47" s="768"/>
      <c r="AE47" s="768"/>
      <c r="AF47" s="768"/>
      <c r="AG47" s="768"/>
      <c r="AH47" s="768"/>
      <c r="AI47" s="768"/>
      <c r="AJ47" s="45"/>
      <c r="AK47" s="49"/>
      <c r="AN47" s="18"/>
      <c r="AO47" s="18"/>
      <c r="AP47" s="18"/>
    </row>
    <row r="48" spans="1:42" ht="9.9499999999999993" customHeight="1">
      <c r="A48" s="48"/>
      <c r="B48" s="45"/>
      <c r="C48" s="768"/>
      <c r="D48" s="768"/>
      <c r="E48" s="768"/>
      <c r="F48" s="768"/>
      <c r="G48" s="768"/>
      <c r="H48" s="768"/>
      <c r="I48" s="768"/>
      <c r="J48" s="768"/>
      <c r="K48" s="768"/>
      <c r="L48" s="768"/>
      <c r="M48" s="768"/>
      <c r="N48" s="768"/>
      <c r="O48" s="768"/>
      <c r="P48" s="768"/>
      <c r="Q48" s="768"/>
      <c r="R48" s="768"/>
      <c r="S48" s="768"/>
      <c r="T48" s="768"/>
      <c r="U48" s="768"/>
      <c r="V48" s="768"/>
      <c r="W48" s="768"/>
      <c r="X48" s="768"/>
      <c r="Y48" s="768"/>
      <c r="Z48" s="768"/>
      <c r="AA48" s="768"/>
      <c r="AB48" s="768"/>
      <c r="AC48" s="768"/>
      <c r="AD48" s="768"/>
      <c r="AE48" s="768"/>
      <c r="AF48" s="768"/>
      <c r="AG48" s="768"/>
      <c r="AH48" s="768"/>
      <c r="AI48" s="768"/>
      <c r="AJ48" s="45"/>
      <c r="AK48" s="49"/>
      <c r="AN48" s="18"/>
      <c r="AO48" s="18"/>
      <c r="AP48" s="18"/>
    </row>
    <row r="49" spans="1:42" ht="12" customHeight="1">
      <c r="A49" s="48"/>
      <c r="B49" s="45"/>
      <c r="C49" s="45"/>
      <c r="D49" s="45"/>
      <c r="E49" s="45"/>
      <c r="F49" s="45"/>
      <c r="G49" s="45"/>
      <c r="H49" s="45"/>
      <c r="I49" s="45"/>
      <c r="J49" s="45"/>
      <c r="K49" s="45"/>
      <c r="L49" s="45"/>
      <c r="M49" s="45"/>
      <c r="N49" s="45"/>
      <c r="O49" s="45"/>
      <c r="P49" s="45"/>
      <c r="Q49" s="45"/>
      <c r="R49" s="45"/>
      <c r="S49" s="45"/>
      <c r="T49" s="45"/>
      <c r="U49" s="45"/>
      <c r="V49" s="45"/>
      <c r="W49" s="45"/>
      <c r="X49" s="45"/>
      <c r="Y49" s="45"/>
      <c r="Z49" s="45"/>
      <c r="AA49" s="45"/>
      <c r="AB49" s="45"/>
      <c r="AC49" s="45"/>
      <c r="AD49" s="45"/>
      <c r="AE49" s="45"/>
      <c r="AF49" s="45"/>
      <c r="AG49" s="45"/>
      <c r="AH49" s="45"/>
      <c r="AI49" s="45"/>
      <c r="AJ49" s="45"/>
      <c r="AK49" s="49"/>
      <c r="AN49" s="18">
        <f ca="1">IF(W4Calc!M32&gt;=1,1,0)</f>
        <v>0</v>
      </c>
      <c r="AO49" s="18"/>
      <c r="AP49" s="18"/>
    </row>
    <row r="50" spans="1:42" ht="12" customHeight="1">
      <c r="A50" s="48"/>
      <c r="B50" s="45"/>
      <c r="C50" s="45"/>
      <c r="D50" s="45"/>
      <c r="E50" s="45"/>
      <c r="F50" s="45"/>
      <c r="G50" s="45"/>
      <c r="H50" s="45"/>
      <c r="I50" s="45"/>
      <c r="J50" s="45"/>
      <c r="K50" s="45"/>
      <c r="L50" s="45"/>
      <c r="M50" s="45"/>
      <c r="N50" s="45"/>
      <c r="O50" s="45"/>
      <c r="P50" s="45"/>
      <c r="Q50" s="45"/>
      <c r="R50" s="45"/>
      <c r="S50" s="45"/>
      <c r="T50" s="45"/>
      <c r="U50" s="45"/>
      <c r="V50" s="45"/>
      <c r="W50" s="45"/>
      <c r="X50" s="45"/>
      <c r="Y50" s="45"/>
      <c r="Z50" s="45"/>
      <c r="AA50" s="45"/>
      <c r="AB50" s="45"/>
      <c r="AC50" s="45"/>
      <c r="AD50" s="45"/>
      <c r="AE50" s="45"/>
      <c r="AF50" s="45"/>
      <c r="AG50" s="45"/>
      <c r="AH50" s="45"/>
      <c r="AI50" s="45"/>
      <c r="AJ50" s="45"/>
      <c r="AK50" s="49"/>
    </row>
    <row r="51" spans="1:42" ht="12" customHeight="1">
      <c r="A51" s="48"/>
      <c r="B51" s="45"/>
      <c r="C51" s="45"/>
      <c r="D51" s="45"/>
      <c r="E51" s="45"/>
      <c r="F51" s="45"/>
      <c r="G51" s="45"/>
      <c r="H51" s="45"/>
      <c r="I51" s="45"/>
      <c r="J51" s="45"/>
      <c r="K51" s="45"/>
      <c r="L51" s="45"/>
      <c r="M51" s="45"/>
      <c r="N51" s="45"/>
      <c r="O51" s="45"/>
      <c r="P51" s="45"/>
      <c r="Q51" s="45"/>
      <c r="R51" s="45"/>
      <c r="S51" s="45"/>
      <c r="T51" s="45"/>
      <c r="U51" s="45"/>
      <c r="V51" s="45"/>
      <c r="W51" s="45"/>
      <c r="X51" s="45"/>
      <c r="Y51" s="45"/>
      <c r="Z51" s="45"/>
      <c r="AA51" s="45"/>
      <c r="AB51" s="45"/>
      <c r="AC51" s="45"/>
      <c r="AD51" s="45"/>
      <c r="AE51" s="45"/>
      <c r="AF51" s="45"/>
      <c r="AG51" s="45"/>
      <c r="AH51" s="45"/>
      <c r="AI51" s="45"/>
      <c r="AJ51" s="45"/>
      <c r="AK51" s="49"/>
    </row>
    <row r="52" spans="1:42" ht="12" customHeight="1">
      <c r="A52" s="48"/>
      <c r="B52" s="45"/>
      <c r="C52" s="45"/>
      <c r="D52" s="45"/>
      <c r="E52" s="45"/>
      <c r="F52" s="45"/>
      <c r="G52" s="45"/>
      <c r="H52" s="45"/>
      <c r="I52" s="45"/>
      <c r="J52" s="45"/>
      <c r="K52" s="45"/>
      <c r="L52" s="45"/>
      <c r="M52" s="45"/>
      <c r="N52" s="45"/>
      <c r="O52" s="45"/>
      <c r="P52" s="45"/>
      <c r="Q52" s="45"/>
      <c r="R52" s="45"/>
      <c r="S52" s="45"/>
      <c r="T52" s="45"/>
      <c r="U52" s="45"/>
      <c r="V52" s="45"/>
      <c r="W52" s="45"/>
      <c r="X52" s="45"/>
      <c r="Y52" s="45"/>
      <c r="Z52" s="45"/>
      <c r="AA52" s="45"/>
      <c r="AB52" s="45"/>
      <c r="AC52" s="45"/>
      <c r="AD52" s="45"/>
      <c r="AE52" s="45"/>
      <c r="AF52" s="45"/>
      <c r="AG52" s="45"/>
      <c r="AH52" s="45"/>
      <c r="AI52" s="45"/>
      <c r="AJ52" s="45"/>
      <c r="AK52" s="49"/>
    </row>
    <row r="53" spans="1:42" ht="12" customHeight="1">
      <c r="A53" s="48"/>
      <c r="B53" s="45"/>
      <c r="C53" s="45"/>
      <c r="D53" s="45"/>
      <c r="E53" s="45"/>
      <c r="F53" s="45"/>
      <c r="G53" s="45"/>
      <c r="H53" s="45"/>
      <c r="I53" s="45"/>
      <c r="J53" s="45"/>
      <c r="K53" s="45"/>
      <c r="L53" s="45"/>
      <c r="M53" s="45"/>
      <c r="N53" s="45"/>
      <c r="O53" s="45"/>
      <c r="P53" s="45"/>
      <c r="Q53" s="45"/>
      <c r="R53" s="45"/>
      <c r="S53" s="45"/>
      <c r="T53" s="45"/>
      <c r="U53" s="45"/>
      <c r="V53" s="45"/>
      <c r="W53" s="45"/>
      <c r="X53" s="45"/>
      <c r="Y53" s="45"/>
      <c r="Z53" s="45"/>
      <c r="AA53" s="45"/>
      <c r="AB53" s="45"/>
      <c r="AC53" s="45"/>
      <c r="AD53" s="45"/>
      <c r="AE53" s="45"/>
      <c r="AF53" s="45"/>
      <c r="AG53" s="45"/>
      <c r="AH53" s="45"/>
      <c r="AI53" s="45"/>
      <c r="AJ53" s="45"/>
      <c r="AK53" s="49"/>
    </row>
    <row r="54" spans="1:42" ht="12" customHeight="1">
      <c r="A54" s="48"/>
      <c r="B54" s="45"/>
      <c r="C54" s="45"/>
      <c r="D54" s="45"/>
      <c r="E54" s="45"/>
      <c r="F54" s="45"/>
      <c r="G54" s="45"/>
      <c r="H54" s="45"/>
      <c r="I54" s="45"/>
      <c r="J54" s="45"/>
      <c r="K54" s="45"/>
      <c r="L54" s="45"/>
      <c r="M54" s="45"/>
      <c r="N54" s="45"/>
      <c r="O54" s="45"/>
      <c r="P54" s="45"/>
      <c r="Q54" s="45"/>
      <c r="R54" s="45"/>
      <c r="S54" s="45"/>
      <c r="T54" s="45"/>
      <c r="U54" s="45"/>
      <c r="V54" s="45"/>
      <c r="W54" s="45"/>
      <c r="X54" s="45"/>
      <c r="Y54" s="45"/>
      <c r="Z54" s="45"/>
      <c r="AA54" s="45"/>
      <c r="AB54" s="45"/>
      <c r="AC54" s="45"/>
      <c r="AD54" s="45"/>
      <c r="AE54" s="45"/>
      <c r="AF54" s="45"/>
      <c r="AG54" s="45"/>
      <c r="AH54" s="45"/>
      <c r="AI54" s="45"/>
      <c r="AJ54" s="45"/>
      <c r="AK54" s="49"/>
    </row>
    <row r="55" spans="1:42" ht="12" customHeight="1">
      <c r="A55" s="48"/>
      <c r="B55" s="45"/>
      <c r="C55" s="45"/>
      <c r="D55" s="45"/>
      <c r="E55" s="45"/>
      <c r="F55" s="45"/>
      <c r="G55" s="45"/>
      <c r="H55" s="45"/>
      <c r="I55" s="45"/>
      <c r="J55" s="45"/>
      <c r="K55" s="45"/>
      <c r="L55" s="45"/>
      <c r="M55" s="45"/>
      <c r="N55" s="45"/>
      <c r="O55" s="45"/>
      <c r="P55" s="45"/>
      <c r="Q55" s="45"/>
      <c r="R55" s="45"/>
      <c r="S55" s="45"/>
      <c r="T55" s="45"/>
      <c r="U55" s="45"/>
      <c r="V55" s="45"/>
      <c r="W55" s="45"/>
      <c r="X55" s="45"/>
      <c r="Y55" s="45"/>
      <c r="Z55" s="45"/>
      <c r="AA55" s="45"/>
      <c r="AB55" s="45"/>
      <c r="AC55" s="45"/>
      <c r="AD55" s="45"/>
      <c r="AE55" s="45"/>
      <c r="AF55" s="45"/>
      <c r="AG55" s="45"/>
      <c r="AH55" s="45"/>
      <c r="AI55" s="45"/>
      <c r="AJ55" s="45"/>
      <c r="AK55" s="49"/>
    </row>
    <row r="56" spans="1:42" ht="14.1" customHeight="1">
      <c r="A56" s="48"/>
      <c r="B56" s="45"/>
      <c r="C56" s="45"/>
      <c r="D56" s="45"/>
      <c r="E56" s="45"/>
      <c r="F56" s="45"/>
      <c r="G56" s="45"/>
      <c r="H56" s="45"/>
      <c r="I56" s="45"/>
      <c r="J56" s="45"/>
      <c r="K56" s="45"/>
      <c r="L56" s="45"/>
      <c r="M56" s="45"/>
      <c r="N56" s="45"/>
      <c r="O56" s="45"/>
      <c r="P56" s="45"/>
      <c r="Q56" s="45"/>
      <c r="R56" s="45"/>
      <c r="S56" s="45"/>
      <c r="T56" s="45"/>
      <c r="U56" s="45"/>
      <c r="V56" s="45"/>
      <c r="W56" s="45"/>
      <c r="X56" s="45"/>
      <c r="Y56" s="45"/>
      <c r="Z56" s="45"/>
      <c r="AA56" s="45"/>
      <c r="AB56" s="45"/>
      <c r="AC56" s="45"/>
      <c r="AD56" s="45"/>
      <c r="AE56" s="45"/>
      <c r="AF56" s="45"/>
      <c r="AG56" s="45"/>
      <c r="AH56" s="45"/>
      <c r="AI56" s="45"/>
      <c r="AJ56" s="45"/>
      <c r="AK56" s="49"/>
    </row>
    <row r="57" spans="1:42" ht="14.1" customHeight="1">
      <c r="A57" s="48"/>
      <c r="B57" s="45"/>
      <c r="C57" s="45"/>
      <c r="D57" s="45"/>
      <c r="E57" s="45"/>
      <c r="F57" s="45"/>
      <c r="G57" s="45"/>
      <c r="H57" s="45"/>
      <c r="I57" s="45"/>
      <c r="J57" s="45"/>
      <c r="K57" s="45"/>
      <c r="L57" s="45"/>
      <c r="M57" s="45"/>
      <c r="N57" s="45"/>
      <c r="O57" s="45"/>
      <c r="P57" s="45"/>
      <c r="Q57" s="45"/>
      <c r="R57" s="45"/>
      <c r="S57" s="45"/>
      <c r="T57" s="45"/>
      <c r="U57" s="45"/>
      <c r="V57" s="45"/>
      <c r="W57" s="45"/>
      <c r="X57" s="45"/>
      <c r="Y57" s="45"/>
      <c r="Z57" s="45"/>
      <c r="AA57" s="45"/>
      <c r="AB57" s="45"/>
      <c r="AC57" s="45"/>
      <c r="AD57" s="45"/>
      <c r="AE57" s="45"/>
      <c r="AF57" s="45"/>
      <c r="AG57" s="45"/>
      <c r="AH57" s="45"/>
      <c r="AI57" s="45"/>
      <c r="AJ57" s="45"/>
      <c r="AK57" s="49"/>
    </row>
    <row r="58" spans="1:42" ht="12" customHeight="1">
      <c r="A58" s="48"/>
      <c r="B58" s="45"/>
      <c r="C58" s="45"/>
      <c r="D58" s="45"/>
      <c r="E58" s="45"/>
      <c r="F58" s="45"/>
      <c r="G58" s="45"/>
      <c r="H58" s="45"/>
      <c r="I58" s="45"/>
      <c r="J58" s="45"/>
      <c r="K58" s="45"/>
      <c r="L58" s="45"/>
      <c r="M58" s="45"/>
      <c r="N58" s="45"/>
      <c r="O58" s="45"/>
      <c r="P58" s="45"/>
      <c r="Q58" s="45"/>
      <c r="R58" s="45"/>
      <c r="S58" s="45"/>
      <c r="T58" s="45"/>
      <c r="U58" s="45"/>
      <c r="V58" s="45"/>
      <c r="W58" s="45"/>
      <c r="X58" s="45"/>
      <c r="Y58" s="45"/>
      <c r="Z58" s="45"/>
      <c r="AA58" s="45"/>
      <c r="AB58" s="45"/>
      <c r="AC58" s="45"/>
      <c r="AD58" s="45"/>
      <c r="AE58" s="45"/>
      <c r="AF58" s="45"/>
      <c r="AG58" s="45"/>
      <c r="AH58" s="45"/>
      <c r="AI58" s="45"/>
      <c r="AJ58" s="45"/>
      <c r="AK58" s="49"/>
    </row>
    <row r="59" spans="1:42" ht="12" customHeight="1">
      <c r="A59" s="48"/>
      <c r="B59" s="45"/>
      <c r="C59" s="45"/>
      <c r="D59" s="45"/>
      <c r="E59" s="45"/>
      <c r="F59" s="45"/>
      <c r="G59" s="45"/>
      <c r="H59" s="45"/>
      <c r="I59" s="45"/>
      <c r="J59" s="45"/>
      <c r="K59" s="45"/>
      <c r="L59" s="45"/>
      <c r="M59" s="45"/>
      <c r="N59" s="45"/>
      <c r="O59" s="45"/>
      <c r="P59" s="45"/>
      <c r="Q59" s="45"/>
      <c r="R59" s="45"/>
      <c r="S59" s="45"/>
      <c r="T59" s="45"/>
      <c r="U59" s="45"/>
      <c r="V59" s="45"/>
      <c r="W59" s="45"/>
      <c r="X59" s="45"/>
      <c r="Y59" s="45"/>
      <c r="Z59" s="45"/>
      <c r="AA59" s="45"/>
      <c r="AB59" s="45"/>
      <c r="AC59" s="45"/>
      <c r="AD59" s="45"/>
      <c r="AE59" s="45"/>
      <c r="AF59" s="45"/>
      <c r="AG59" s="45"/>
      <c r="AH59" s="45"/>
      <c r="AI59" s="45"/>
      <c r="AJ59" s="45"/>
      <c r="AK59" s="49"/>
    </row>
    <row r="60" spans="1:42" ht="12" customHeight="1">
      <c r="A60" s="48"/>
      <c r="B60" s="45"/>
      <c r="C60" s="45"/>
      <c r="D60" s="45"/>
      <c r="E60" s="45"/>
      <c r="F60" s="45"/>
      <c r="G60" s="45"/>
      <c r="H60" s="45"/>
      <c r="I60" s="45"/>
      <c r="J60" s="45"/>
      <c r="K60" s="45"/>
      <c r="L60" s="45"/>
      <c r="M60" s="45"/>
      <c r="N60" s="45"/>
      <c r="O60" s="45"/>
      <c r="P60" s="45"/>
      <c r="Q60" s="45"/>
      <c r="R60" s="45"/>
      <c r="S60" s="45"/>
      <c r="T60" s="45"/>
      <c r="U60" s="45"/>
      <c r="V60" s="45"/>
      <c r="W60" s="45"/>
      <c r="X60" s="45"/>
      <c r="Y60" s="45"/>
      <c r="Z60" s="45"/>
      <c r="AA60" s="45"/>
      <c r="AB60" s="45"/>
      <c r="AC60" s="45"/>
      <c r="AD60" s="45"/>
      <c r="AE60" s="45"/>
      <c r="AF60" s="45"/>
      <c r="AG60" s="45"/>
      <c r="AH60" s="45"/>
      <c r="AI60" s="45"/>
      <c r="AJ60" s="45"/>
      <c r="AK60" s="49"/>
    </row>
    <row r="61" spans="1:42" ht="12" customHeight="1">
      <c r="A61" s="48"/>
      <c r="B61" s="45"/>
      <c r="C61" s="45"/>
      <c r="D61" s="45"/>
      <c r="E61" s="45"/>
      <c r="F61" s="45"/>
      <c r="G61" s="45"/>
      <c r="H61" s="45"/>
      <c r="I61" s="45"/>
      <c r="J61" s="45"/>
      <c r="K61" s="45"/>
      <c r="L61" s="45"/>
      <c r="M61" s="45"/>
      <c r="N61" s="45"/>
      <c r="O61" s="45"/>
      <c r="P61" s="45"/>
      <c r="Q61" s="45"/>
      <c r="R61" s="45"/>
      <c r="S61" s="45"/>
      <c r="T61" s="45"/>
      <c r="U61" s="45"/>
      <c r="V61" s="45"/>
      <c r="W61" s="45"/>
      <c r="X61" s="45"/>
      <c r="Y61" s="45"/>
      <c r="Z61" s="45"/>
      <c r="AA61" s="45"/>
      <c r="AB61" s="45"/>
      <c r="AC61" s="45"/>
      <c r="AD61" s="45"/>
      <c r="AE61" s="45"/>
      <c r="AF61" s="45"/>
      <c r="AG61" s="45"/>
      <c r="AH61" s="45"/>
      <c r="AI61" s="45"/>
      <c r="AJ61" s="45"/>
      <c r="AK61" s="49"/>
    </row>
    <row r="62" spans="1:42" ht="12" customHeight="1">
      <c r="A62" s="48"/>
      <c r="B62" s="45"/>
      <c r="C62" s="45"/>
      <c r="D62" s="45"/>
      <c r="E62" s="45"/>
      <c r="F62" s="45"/>
      <c r="G62" s="45"/>
      <c r="H62" s="45"/>
      <c r="I62" s="45"/>
      <c r="J62" s="45"/>
      <c r="K62" s="45"/>
      <c r="L62" s="45"/>
      <c r="M62" s="45"/>
      <c r="N62" s="45"/>
      <c r="O62" s="45"/>
      <c r="P62" s="45"/>
      <c r="Q62" s="45"/>
      <c r="R62" s="45"/>
      <c r="S62" s="45"/>
      <c r="T62" s="45"/>
      <c r="U62" s="45"/>
      <c r="V62" s="45"/>
      <c r="W62" s="45"/>
      <c r="X62" s="45"/>
      <c r="Y62" s="45"/>
      <c r="Z62" s="45"/>
      <c r="AA62" s="45"/>
      <c r="AB62" s="45"/>
      <c r="AC62" s="45"/>
      <c r="AD62" s="45"/>
      <c r="AE62" s="45"/>
      <c r="AF62" s="45"/>
      <c r="AG62" s="45"/>
      <c r="AH62" s="45"/>
      <c r="AI62" s="45"/>
      <c r="AJ62" s="45"/>
      <c r="AK62" s="49"/>
    </row>
    <row r="63" spans="1:42" ht="12" customHeight="1">
      <c r="A63" s="48"/>
      <c r="B63" s="45"/>
      <c r="C63" s="45"/>
      <c r="D63" s="45"/>
      <c r="E63" s="45"/>
      <c r="F63" s="45"/>
      <c r="G63" s="45"/>
      <c r="H63" s="45"/>
      <c r="I63" s="45"/>
      <c r="J63" s="45"/>
      <c r="K63" s="45"/>
      <c r="L63" s="45"/>
      <c r="M63" s="45"/>
      <c r="N63" s="45"/>
      <c r="O63" s="45"/>
      <c r="P63" s="45"/>
      <c r="Q63" s="45"/>
      <c r="R63" s="45"/>
      <c r="S63" s="45"/>
      <c r="T63" s="45"/>
      <c r="U63" s="45"/>
      <c r="V63" s="45"/>
      <c r="W63" s="45"/>
      <c r="X63" s="45"/>
      <c r="Y63" s="45"/>
      <c r="Z63" s="45"/>
      <c r="AA63" s="45"/>
      <c r="AB63" s="45"/>
      <c r="AC63" s="45"/>
      <c r="AD63" s="45"/>
      <c r="AE63" s="45"/>
      <c r="AF63" s="45"/>
      <c r="AG63" s="45"/>
      <c r="AH63" s="45"/>
      <c r="AI63" s="45"/>
      <c r="AJ63" s="45"/>
      <c r="AK63" s="49"/>
    </row>
    <row r="64" spans="1:42" ht="12" customHeight="1">
      <c r="A64" s="48"/>
      <c r="B64" s="45"/>
      <c r="C64" s="45"/>
      <c r="D64" s="45"/>
      <c r="E64" s="45"/>
      <c r="F64" s="45"/>
      <c r="G64" s="45"/>
      <c r="H64" s="45"/>
      <c r="I64" s="45"/>
      <c r="J64" s="45"/>
      <c r="K64" s="45"/>
      <c r="L64" s="45"/>
      <c r="M64" s="45"/>
      <c r="N64" s="45"/>
      <c r="O64" s="45"/>
      <c r="P64" s="45"/>
      <c r="Q64" s="45"/>
      <c r="R64" s="45"/>
      <c r="S64" s="45"/>
      <c r="T64" s="45"/>
      <c r="U64" s="45"/>
      <c r="V64" s="45"/>
      <c r="W64" s="45"/>
      <c r="X64" s="45"/>
      <c r="Y64" s="45"/>
      <c r="Z64" s="45"/>
      <c r="AA64" s="45"/>
      <c r="AB64" s="45"/>
      <c r="AC64" s="45"/>
      <c r="AD64" s="45"/>
      <c r="AE64" s="45"/>
      <c r="AF64" s="45"/>
      <c r="AG64" s="45"/>
      <c r="AH64" s="45"/>
      <c r="AI64" s="45"/>
      <c r="AJ64" s="45"/>
      <c r="AK64" s="49"/>
    </row>
    <row r="65" spans="1:37" ht="12" customHeight="1">
      <c r="A65" s="48"/>
      <c r="B65" s="45"/>
      <c r="C65" s="45"/>
      <c r="D65" s="45"/>
      <c r="E65" s="45"/>
      <c r="F65" s="45"/>
      <c r="G65" s="45"/>
      <c r="H65" s="45"/>
      <c r="I65" s="45"/>
      <c r="J65" s="45"/>
      <c r="K65" s="45"/>
      <c r="L65" s="45"/>
      <c r="M65" s="45"/>
      <c r="N65" s="45"/>
      <c r="O65" s="45"/>
      <c r="P65" s="45"/>
      <c r="Q65" s="45"/>
      <c r="R65" s="45"/>
      <c r="S65" s="45"/>
      <c r="T65" s="45"/>
      <c r="U65" s="45"/>
      <c r="V65" s="45"/>
      <c r="W65" s="45"/>
      <c r="X65" s="45"/>
      <c r="Y65" s="45"/>
      <c r="Z65" s="45"/>
      <c r="AA65" s="45"/>
      <c r="AB65" s="45"/>
      <c r="AC65" s="45"/>
      <c r="AD65" s="45"/>
      <c r="AE65" s="45"/>
      <c r="AF65" s="45"/>
      <c r="AG65" s="45"/>
      <c r="AH65" s="45"/>
      <c r="AI65" s="45"/>
      <c r="AJ65" s="45"/>
      <c r="AK65" s="49"/>
    </row>
    <row r="66" spans="1:37" ht="12" customHeight="1">
      <c r="A66" s="48"/>
      <c r="B66" s="45"/>
      <c r="C66" s="45"/>
      <c r="D66" s="45"/>
      <c r="E66" s="45"/>
      <c r="F66" s="45"/>
      <c r="G66" s="45"/>
      <c r="H66" s="45"/>
      <c r="I66" s="45"/>
      <c r="J66" s="45"/>
      <c r="K66" s="45"/>
      <c r="L66" s="45"/>
      <c r="M66" s="45"/>
      <c r="N66" s="45"/>
      <c r="O66" s="45"/>
      <c r="P66" s="45"/>
      <c r="Q66" s="45"/>
      <c r="R66" s="45"/>
      <c r="S66" s="45"/>
      <c r="T66" s="45"/>
      <c r="U66" s="45"/>
      <c r="V66" s="45"/>
      <c r="W66" s="45"/>
      <c r="X66" s="45"/>
      <c r="Y66" s="45"/>
      <c r="Z66" s="45"/>
      <c r="AA66" s="45"/>
      <c r="AB66" s="45"/>
      <c r="AC66" s="45"/>
      <c r="AD66" s="45"/>
      <c r="AE66" s="45"/>
      <c r="AF66" s="45"/>
      <c r="AG66" s="45"/>
      <c r="AH66" s="45"/>
      <c r="AI66" s="45"/>
      <c r="AJ66" s="45"/>
      <c r="AK66" s="49"/>
    </row>
    <row r="67" spans="1:37" ht="12" customHeight="1">
      <c r="A67" s="48"/>
      <c r="B67" s="45"/>
      <c r="C67" s="45"/>
      <c r="D67" s="45"/>
      <c r="E67" s="45"/>
      <c r="F67" s="45"/>
      <c r="G67" s="400" t="s">
        <v>81</v>
      </c>
      <c r="H67" s="401" t="s">
        <v>233</v>
      </c>
      <c r="I67" s="45"/>
      <c r="J67" s="45"/>
      <c r="K67" s="45"/>
      <c r="L67" s="45"/>
      <c r="M67" s="45"/>
      <c r="N67" s="45"/>
      <c r="O67" s="45"/>
      <c r="P67" s="45"/>
      <c r="Q67" s="45"/>
      <c r="R67" s="45"/>
      <c r="S67" s="45"/>
      <c r="T67" s="45"/>
      <c r="U67" s="45"/>
      <c r="V67" s="45"/>
      <c r="W67" s="45"/>
      <c r="X67" s="45"/>
      <c r="Y67" s="45"/>
      <c r="Z67" s="45"/>
      <c r="AA67" s="45"/>
      <c r="AB67" s="45"/>
      <c r="AC67" s="45"/>
      <c r="AD67" s="45"/>
      <c r="AE67" s="45"/>
      <c r="AF67" s="45"/>
      <c r="AG67" s="45"/>
      <c r="AH67" s="45"/>
      <c r="AI67" s="45"/>
      <c r="AJ67" s="45"/>
      <c r="AK67" s="49"/>
    </row>
    <row r="68" spans="1:37" ht="12" customHeight="1">
      <c r="A68" s="48"/>
      <c r="B68" s="45"/>
      <c r="C68" s="45"/>
      <c r="D68" s="45"/>
      <c r="E68" s="45"/>
      <c r="F68" s="45"/>
      <c r="G68" s="74"/>
      <c r="H68" s="401" t="s">
        <v>234</v>
      </c>
      <c r="I68" s="45"/>
      <c r="J68" s="45"/>
      <c r="K68" s="45"/>
      <c r="L68" s="45"/>
      <c r="M68" s="45"/>
      <c r="N68" s="45"/>
      <c r="O68" s="45"/>
      <c r="P68" s="45"/>
      <c r="Q68" s="45"/>
      <c r="R68" s="45"/>
      <c r="S68" s="45"/>
      <c r="T68" s="45"/>
      <c r="U68" s="45"/>
      <c r="V68" s="45"/>
      <c r="W68" s="45"/>
      <c r="X68" s="45"/>
      <c r="Y68" s="45"/>
      <c r="Z68" s="45"/>
      <c r="AA68" s="45"/>
      <c r="AB68" s="45"/>
      <c r="AC68" s="45"/>
      <c r="AD68" s="45"/>
      <c r="AE68" s="45"/>
      <c r="AF68" s="45"/>
      <c r="AG68" s="45"/>
      <c r="AH68" s="45"/>
      <c r="AI68" s="45"/>
      <c r="AJ68" s="45"/>
      <c r="AK68" s="49"/>
    </row>
    <row r="69" spans="1:37" ht="6" customHeight="1">
      <c r="A69" s="50"/>
      <c r="B69" s="51"/>
      <c r="C69" s="51"/>
      <c r="D69" s="51"/>
      <c r="E69" s="51"/>
      <c r="F69" s="51"/>
      <c r="G69" s="51"/>
      <c r="H69" s="51"/>
      <c r="I69" s="51"/>
      <c r="J69" s="51"/>
      <c r="K69" s="51"/>
      <c r="L69" s="51"/>
      <c r="M69" s="51"/>
      <c r="N69" s="51"/>
      <c r="O69" s="51"/>
      <c r="P69" s="51"/>
      <c r="Q69" s="51"/>
      <c r="R69" s="51"/>
      <c r="S69" s="51"/>
      <c r="T69" s="51"/>
      <c r="U69" s="51"/>
      <c r="V69" s="51"/>
      <c r="W69" s="51"/>
      <c r="X69" s="51"/>
      <c r="Y69" s="51"/>
      <c r="Z69" s="51"/>
      <c r="AA69" s="51"/>
      <c r="AB69" s="51"/>
      <c r="AC69" s="51"/>
      <c r="AD69" s="51"/>
      <c r="AE69" s="51"/>
      <c r="AF69" s="51"/>
      <c r="AG69" s="51"/>
      <c r="AH69" s="51"/>
      <c r="AI69" s="51"/>
      <c r="AJ69" s="51"/>
      <c r="AK69" s="52"/>
    </row>
    <row r="75" spans="1:37" ht="12" hidden="1" customHeight="1">
      <c r="C75" s="788" t="s">
        <v>227</v>
      </c>
      <c r="D75" s="788"/>
      <c r="E75" s="788"/>
      <c r="F75" s="788"/>
      <c r="G75" s="788"/>
      <c r="H75" s="788"/>
      <c r="I75" s="788"/>
      <c r="J75" s="788"/>
      <c r="K75" s="788"/>
      <c r="L75" s="788"/>
      <c r="M75" s="788"/>
      <c r="N75" s="788"/>
      <c r="O75" s="788"/>
      <c r="P75" s="788"/>
      <c r="Q75" s="788"/>
      <c r="R75" s="788"/>
      <c r="S75" s="788"/>
      <c r="T75" s="788"/>
      <c r="U75" s="788"/>
      <c r="V75" s="788"/>
      <c r="W75" s="788"/>
      <c r="X75" s="788"/>
      <c r="Y75" s="788"/>
      <c r="Z75" s="788"/>
      <c r="AA75" s="788"/>
      <c r="AB75" s="788"/>
      <c r="AC75" s="788"/>
      <c r="AD75" s="788"/>
      <c r="AE75" s="788"/>
      <c r="AF75" s="788"/>
      <c r="AG75" s="788"/>
      <c r="AH75" s="788"/>
      <c r="AI75" s="788"/>
    </row>
    <row r="76" spans="1:37" ht="12" hidden="1" customHeight="1">
      <c r="C76" s="788"/>
      <c r="D76" s="788"/>
      <c r="E76" s="788"/>
      <c r="F76" s="788"/>
      <c r="G76" s="788"/>
      <c r="H76" s="788"/>
      <c r="I76" s="788"/>
      <c r="J76" s="788"/>
      <c r="K76" s="788"/>
      <c r="L76" s="788"/>
      <c r="M76" s="788"/>
      <c r="N76" s="788"/>
      <c r="O76" s="788"/>
      <c r="P76" s="788"/>
      <c r="Q76" s="788"/>
      <c r="R76" s="788"/>
      <c r="S76" s="788"/>
      <c r="T76" s="788"/>
      <c r="U76" s="788"/>
      <c r="V76" s="788"/>
      <c r="W76" s="788"/>
      <c r="X76" s="788"/>
      <c r="Y76" s="788"/>
      <c r="Z76" s="788"/>
      <c r="AA76" s="788"/>
      <c r="AB76" s="788"/>
      <c r="AC76" s="788"/>
      <c r="AD76" s="788"/>
      <c r="AE76" s="788"/>
      <c r="AF76" s="788"/>
      <c r="AG76" s="788"/>
      <c r="AH76" s="788"/>
      <c r="AI76" s="788"/>
    </row>
    <row r="77" spans="1:37" ht="12" hidden="1" customHeight="1">
      <c r="C77" s="788" t="s">
        <v>228</v>
      </c>
      <c r="D77" s="788"/>
      <c r="E77" s="788"/>
      <c r="F77" s="788"/>
      <c r="G77" s="788"/>
      <c r="H77" s="788"/>
      <c r="I77" s="788"/>
      <c r="J77" s="788"/>
      <c r="K77" s="788"/>
      <c r="L77" s="788"/>
      <c r="M77" s="788"/>
      <c r="N77" s="788"/>
      <c r="O77" s="788"/>
      <c r="P77" s="788"/>
      <c r="Q77" s="788"/>
      <c r="R77" s="788"/>
      <c r="S77" s="788"/>
      <c r="T77" s="788"/>
      <c r="U77" s="788"/>
      <c r="V77" s="788"/>
      <c r="W77" s="788"/>
      <c r="X77" s="788"/>
      <c r="Y77" s="788"/>
      <c r="Z77" s="788"/>
      <c r="AA77" s="788"/>
      <c r="AB77" s="788"/>
      <c r="AC77" s="788"/>
      <c r="AD77" s="788"/>
      <c r="AE77" s="788"/>
      <c r="AF77" s="788"/>
      <c r="AG77" s="788"/>
      <c r="AH77" s="788"/>
      <c r="AI77" s="788"/>
    </row>
    <row r="78" spans="1:37" ht="12" hidden="1" customHeight="1">
      <c r="C78" s="788"/>
      <c r="D78" s="788"/>
      <c r="E78" s="788"/>
      <c r="F78" s="788"/>
      <c r="G78" s="788"/>
      <c r="H78" s="788"/>
      <c r="I78" s="788"/>
      <c r="J78" s="788"/>
      <c r="K78" s="788"/>
      <c r="L78" s="788"/>
      <c r="M78" s="788"/>
      <c r="N78" s="788"/>
      <c r="O78" s="788"/>
      <c r="P78" s="788"/>
      <c r="Q78" s="788"/>
      <c r="R78" s="788"/>
      <c r="S78" s="788"/>
      <c r="T78" s="788"/>
      <c r="U78" s="788"/>
      <c r="V78" s="788"/>
      <c r="W78" s="788"/>
      <c r="X78" s="788"/>
      <c r="Y78" s="788"/>
      <c r="Z78" s="788"/>
      <c r="AA78" s="788"/>
      <c r="AB78" s="788"/>
      <c r="AC78" s="788"/>
      <c r="AD78" s="788"/>
      <c r="AE78" s="788"/>
      <c r="AF78" s="788"/>
      <c r="AG78" s="788"/>
      <c r="AH78" s="788"/>
      <c r="AI78" s="788"/>
    </row>
    <row r="79" spans="1:37" ht="12" hidden="1" customHeight="1"/>
    <row r="80" spans="1:37" ht="12" hidden="1" customHeight="1">
      <c r="C80" s="788" t="s">
        <v>229</v>
      </c>
      <c r="D80" s="788"/>
      <c r="E80" s="788"/>
      <c r="F80" s="788"/>
      <c r="G80" s="788"/>
      <c r="H80" s="788"/>
      <c r="I80" s="788"/>
      <c r="J80" s="788"/>
      <c r="K80" s="788"/>
      <c r="L80" s="788"/>
      <c r="M80" s="788"/>
      <c r="N80" s="788"/>
      <c r="O80" s="788"/>
      <c r="P80" s="788"/>
      <c r="Q80" s="788"/>
      <c r="R80" s="788"/>
      <c r="S80" s="788"/>
      <c r="T80" s="788"/>
      <c r="U80" s="788"/>
      <c r="V80" s="788"/>
      <c r="W80" s="788"/>
      <c r="X80" s="788"/>
      <c r="Y80" s="788"/>
      <c r="Z80" s="788"/>
      <c r="AA80" s="788"/>
      <c r="AB80" s="788"/>
      <c r="AC80" s="788"/>
      <c r="AD80" s="788"/>
      <c r="AE80" s="788"/>
      <c r="AF80" s="788"/>
      <c r="AG80" s="788"/>
      <c r="AH80" s="788"/>
      <c r="AI80" s="788"/>
    </row>
    <row r="81" spans="3:35" ht="12" hidden="1" customHeight="1">
      <c r="C81" s="788"/>
      <c r="D81" s="788"/>
      <c r="E81" s="788"/>
      <c r="F81" s="788"/>
      <c r="G81" s="788"/>
      <c r="H81" s="788"/>
      <c r="I81" s="788"/>
      <c r="J81" s="788"/>
      <c r="K81" s="788"/>
      <c r="L81" s="788"/>
      <c r="M81" s="788"/>
      <c r="N81" s="788"/>
      <c r="O81" s="788"/>
      <c r="P81" s="788"/>
      <c r="Q81" s="788"/>
      <c r="R81" s="788"/>
      <c r="S81" s="788"/>
      <c r="T81" s="788"/>
      <c r="U81" s="788"/>
      <c r="V81" s="788"/>
      <c r="W81" s="788"/>
      <c r="X81" s="788"/>
      <c r="Y81" s="788"/>
      <c r="Z81" s="788"/>
      <c r="AA81" s="788"/>
      <c r="AB81" s="788"/>
      <c r="AC81" s="788"/>
      <c r="AD81" s="788"/>
      <c r="AE81" s="788"/>
      <c r="AF81" s="788"/>
      <c r="AG81" s="788"/>
      <c r="AH81" s="788"/>
      <c r="AI81" s="788"/>
    </row>
    <row r="82" spans="3:35" ht="12" hidden="1" customHeight="1">
      <c r="C82" s="788" t="s">
        <v>230</v>
      </c>
      <c r="D82" s="788"/>
      <c r="E82" s="788"/>
      <c r="F82" s="788"/>
      <c r="G82" s="788"/>
      <c r="H82" s="788"/>
      <c r="I82" s="788"/>
      <c r="J82" s="788"/>
      <c r="K82" s="788"/>
      <c r="L82" s="788"/>
      <c r="M82" s="788"/>
      <c r="N82" s="788"/>
      <c r="O82" s="788"/>
      <c r="P82" s="788"/>
      <c r="Q82" s="788"/>
      <c r="R82" s="788"/>
      <c r="S82" s="788"/>
      <c r="T82" s="788"/>
      <c r="U82" s="788"/>
      <c r="V82" s="788"/>
      <c r="W82" s="788"/>
      <c r="X82" s="788"/>
      <c r="Y82" s="788"/>
      <c r="Z82" s="788"/>
      <c r="AA82" s="788"/>
      <c r="AB82" s="788"/>
      <c r="AC82" s="788"/>
      <c r="AD82" s="788"/>
      <c r="AE82" s="788"/>
      <c r="AF82" s="788"/>
      <c r="AG82" s="788"/>
      <c r="AH82" s="788"/>
      <c r="AI82" s="788"/>
    </row>
    <row r="83" spans="3:35" ht="12" hidden="1" customHeight="1">
      <c r="C83" s="788"/>
      <c r="D83" s="788"/>
      <c r="E83" s="788"/>
      <c r="F83" s="788"/>
      <c r="G83" s="788"/>
      <c r="H83" s="788"/>
      <c r="I83" s="788"/>
      <c r="J83" s="788"/>
      <c r="K83" s="788"/>
      <c r="L83" s="788"/>
      <c r="M83" s="788"/>
      <c r="N83" s="788"/>
      <c r="O83" s="788"/>
      <c r="P83" s="788"/>
      <c r="Q83" s="788"/>
      <c r="R83" s="788"/>
      <c r="S83" s="788"/>
      <c r="T83" s="788"/>
      <c r="U83" s="788"/>
      <c r="V83" s="788"/>
      <c r="W83" s="788"/>
      <c r="X83" s="788"/>
      <c r="Y83" s="788"/>
      <c r="Z83" s="788"/>
      <c r="AA83" s="788"/>
      <c r="AB83" s="788"/>
      <c r="AC83" s="788"/>
      <c r="AD83" s="788"/>
      <c r="AE83" s="788"/>
      <c r="AF83" s="788"/>
      <c r="AG83" s="788"/>
      <c r="AH83" s="788"/>
      <c r="AI83" s="788"/>
    </row>
  </sheetData>
  <sheetProtection sheet="1" objects="1" scenarios="1" selectLockedCells="1"/>
  <mergeCells count="39">
    <mergeCell ref="C8:AE10"/>
    <mergeCell ref="AF8:AI9"/>
    <mergeCell ref="AF10:AG10"/>
    <mergeCell ref="AH10:AI10"/>
    <mergeCell ref="B2:AJ3"/>
    <mergeCell ref="AF11:AG16"/>
    <mergeCell ref="AH11:AI16"/>
    <mergeCell ref="H12:X14"/>
    <mergeCell ref="AA13:AB13"/>
    <mergeCell ref="AD13:AE13"/>
    <mergeCell ref="D15:X15"/>
    <mergeCell ref="AA15:AB15"/>
    <mergeCell ref="AD15:AE15"/>
    <mergeCell ref="T18:AA18"/>
    <mergeCell ref="T19:U19"/>
    <mergeCell ref="V19:W19"/>
    <mergeCell ref="X19:Y19"/>
    <mergeCell ref="Z19:AA19"/>
    <mergeCell ref="C47:AI48"/>
    <mergeCell ref="C75:AI76"/>
    <mergeCell ref="C77:AI78"/>
    <mergeCell ref="C80:AI81"/>
    <mergeCell ref="C82:AI83"/>
    <mergeCell ref="AB18:AE18"/>
    <mergeCell ref="AB19:AE19"/>
    <mergeCell ref="AB20:AE21"/>
    <mergeCell ref="AB22:AE23"/>
    <mergeCell ref="C24:AI25"/>
    <mergeCell ref="G22:S23"/>
    <mergeCell ref="T22:U23"/>
    <mergeCell ref="V22:W23"/>
    <mergeCell ref="X22:Y23"/>
    <mergeCell ref="Z22:AA23"/>
    <mergeCell ref="G20:S21"/>
    <mergeCell ref="T20:U21"/>
    <mergeCell ref="V20:W21"/>
    <mergeCell ref="X20:Y21"/>
    <mergeCell ref="Z20:AA21"/>
    <mergeCell ref="G18:S19"/>
  </mergeCells>
  <printOptions horizontalCentered="1"/>
  <pageMargins left="0.5" right="0.25" top="0.25" bottom="0.5" header="0.3" footer="0.35"/>
  <pageSetup orientation="portrait" r:id="rId1"/>
  <headerFooter>
    <oddFooter>&amp;L&amp;"Arial,Italic"&amp;8Based on MUTCD 2009
Page 4 of 7&amp;C&amp;"Arial,Bold"&amp;8&amp;UNOTE:&amp;"Arial,Italic"&amp;U  The Satisfaction of a warrant or warrants shall not in
itself require the installation of a traffic control signal.&amp;R&amp;"Arial,Italic"&amp;8rev. 05/2011</oddFooter>
  </headerFooter>
  <drawing r:id="rId2"/>
</worksheet>
</file>

<file path=xl/worksheets/sheet5.xml><?xml version="1.0" encoding="utf-8"?>
<worksheet xmlns="http://schemas.openxmlformats.org/spreadsheetml/2006/main" xmlns:r="http://schemas.openxmlformats.org/officeDocument/2006/relationships">
  <sheetPr codeName="Sheet11"/>
  <dimension ref="A1:BA68"/>
  <sheetViews>
    <sheetView showGridLines="0" workbookViewId="0">
      <selection activeCell="C15" sqref="C15:AI19"/>
    </sheetView>
  </sheetViews>
  <sheetFormatPr defaultColWidth="2.7109375" defaultRowHeight="12" customHeight="1"/>
  <cols>
    <col min="1" max="1" width="0.85546875" customWidth="1"/>
    <col min="3" max="3" width="2.7109375" customWidth="1"/>
    <col min="26" max="26" width="2.7109375" customWidth="1"/>
    <col min="37" max="37" width="0.85546875" customWidth="1"/>
    <col min="40" max="53" width="2.7109375" hidden="1" customWidth="1"/>
  </cols>
  <sheetData>
    <row r="1" spans="1:42" ht="6" customHeight="1">
      <c r="A1" s="46"/>
      <c r="B1" s="210"/>
      <c r="C1" s="210"/>
      <c r="D1" s="210"/>
      <c r="E1" s="210"/>
      <c r="F1" s="210"/>
      <c r="G1" s="210"/>
      <c r="H1" s="210"/>
      <c r="I1" s="210"/>
      <c r="J1" s="210"/>
      <c r="K1" s="210"/>
      <c r="L1" s="210"/>
      <c r="M1" s="210"/>
      <c r="N1" s="210"/>
      <c r="O1" s="210"/>
      <c r="P1" s="210"/>
      <c r="Q1" s="210"/>
      <c r="R1" s="210"/>
      <c r="S1" s="210"/>
      <c r="T1" s="210"/>
      <c r="U1" s="210"/>
      <c r="V1" s="210"/>
      <c r="W1" s="210"/>
      <c r="X1" s="210"/>
      <c r="Y1" s="210"/>
      <c r="Z1" s="210"/>
      <c r="AA1" s="210"/>
      <c r="AB1" s="210"/>
      <c r="AC1" s="210"/>
      <c r="AD1" s="210"/>
      <c r="AE1" s="210"/>
      <c r="AF1" s="210"/>
      <c r="AG1" s="210"/>
      <c r="AH1" s="210"/>
      <c r="AI1" s="210"/>
      <c r="AJ1" s="210"/>
      <c r="AK1" s="211"/>
    </row>
    <row r="2" spans="1:42" ht="12" customHeight="1">
      <c r="A2" s="48"/>
      <c r="B2" s="492" t="s">
        <v>293</v>
      </c>
      <c r="C2" s="492"/>
      <c r="D2" s="492"/>
      <c r="E2" s="492"/>
      <c r="F2" s="492"/>
      <c r="G2" s="492"/>
      <c r="H2" s="492"/>
      <c r="I2" s="492"/>
      <c r="J2" s="492"/>
      <c r="K2" s="492"/>
      <c r="L2" s="492"/>
      <c r="M2" s="492"/>
      <c r="N2" s="492"/>
      <c r="O2" s="492"/>
      <c r="P2" s="492"/>
      <c r="Q2" s="492"/>
      <c r="R2" s="492"/>
      <c r="S2" s="492"/>
      <c r="T2" s="492"/>
      <c r="U2" s="492"/>
      <c r="V2" s="492"/>
      <c r="W2" s="492"/>
      <c r="X2" s="492"/>
      <c r="Y2" s="492"/>
      <c r="Z2" s="492"/>
      <c r="AA2" s="492"/>
      <c r="AB2" s="492"/>
      <c r="AC2" s="492"/>
      <c r="AD2" s="492"/>
      <c r="AE2" s="492"/>
      <c r="AF2" s="492"/>
      <c r="AG2" s="492"/>
      <c r="AH2" s="492"/>
      <c r="AI2" s="492"/>
      <c r="AJ2" s="492"/>
      <c r="AK2" s="49"/>
    </row>
    <row r="3" spans="1:42" ht="12" customHeight="1">
      <c r="A3" s="48"/>
      <c r="B3" s="492"/>
      <c r="C3" s="492"/>
      <c r="D3" s="492"/>
      <c r="E3" s="492"/>
      <c r="F3" s="492"/>
      <c r="G3" s="492"/>
      <c r="H3" s="492"/>
      <c r="I3" s="492"/>
      <c r="J3" s="492"/>
      <c r="K3" s="492"/>
      <c r="L3" s="492"/>
      <c r="M3" s="492"/>
      <c r="N3" s="492"/>
      <c r="O3" s="492"/>
      <c r="P3" s="492"/>
      <c r="Q3" s="492"/>
      <c r="R3" s="492"/>
      <c r="S3" s="492"/>
      <c r="T3" s="492"/>
      <c r="U3" s="492"/>
      <c r="V3" s="492"/>
      <c r="W3" s="492"/>
      <c r="X3" s="492"/>
      <c r="Y3" s="492"/>
      <c r="Z3" s="492"/>
      <c r="AA3" s="492"/>
      <c r="AB3" s="492"/>
      <c r="AC3" s="492"/>
      <c r="AD3" s="492"/>
      <c r="AE3" s="492"/>
      <c r="AF3" s="492"/>
      <c r="AG3" s="492"/>
      <c r="AH3" s="492"/>
      <c r="AI3" s="492"/>
      <c r="AJ3" s="492"/>
      <c r="AK3" s="49"/>
    </row>
    <row r="4" spans="1:42" ht="6" customHeight="1">
      <c r="A4" s="48"/>
      <c r="B4" s="176"/>
      <c r="C4" s="176"/>
      <c r="D4" s="176"/>
      <c r="E4" s="176"/>
      <c r="F4" s="176"/>
      <c r="G4" s="176"/>
      <c r="H4" s="176"/>
      <c r="I4" s="176"/>
      <c r="J4" s="176"/>
      <c r="K4" s="176"/>
      <c r="L4" s="176"/>
      <c r="M4" s="176"/>
      <c r="N4" s="176"/>
      <c r="O4" s="176"/>
      <c r="P4" s="176"/>
      <c r="Q4" s="176"/>
      <c r="R4" s="176"/>
      <c r="S4" s="176"/>
      <c r="T4" s="176"/>
      <c r="U4" s="176"/>
      <c r="V4" s="176"/>
      <c r="W4" s="176"/>
      <c r="X4" s="176"/>
      <c r="Y4" s="176"/>
      <c r="Z4" s="176"/>
      <c r="AA4" s="176"/>
      <c r="AB4" s="176"/>
      <c r="AC4" s="176"/>
      <c r="AD4" s="176"/>
      <c r="AE4" s="176"/>
      <c r="AF4" s="176"/>
      <c r="AG4" s="176"/>
      <c r="AH4" s="176"/>
      <c r="AI4" s="176"/>
      <c r="AJ4" s="176"/>
      <c r="AK4" s="49"/>
    </row>
    <row r="5" spans="1:42" ht="6" customHeight="1">
      <c r="A5" s="48"/>
      <c r="B5" s="170"/>
      <c r="C5" s="170"/>
      <c r="D5" s="170"/>
      <c r="E5" s="170"/>
      <c r="F5" s="170"/>
      <c r="G5" s="170"/>
      <c r="H5" s="170"/>
      <c r="I5" s="170"/>
      <c r="J5" s="170"/>
      <c r="K5" s="170"/>
      <c r="L5" s="170"/>
      <c r="M5" s="170"/>
      <c r="N5" s="170"/>
      <c r="O5" s="170"/>
      <c r="P5" s="170"/>
      <c r="Q5" s="170"/>
      <c r="R5" s="170"/>
      <c r="S5" s="170"/>
      <c r="T5" s="170"/>
      <c r="U5" s="170"/>
      <c r="V5" s="170"/>
      <c r="W5" s="170"/>
      <c r="X5" s="170"/>
      <c r="Y5" s="170"/>
      <c r="Z5" s="170"/>
      <c r="AA5" s="170"/>
      <c r="AB5" s="170"/>
      <c r="AC5" s="170"/>
      <c r="AD5" s="170"/>
      <c r="AE5" s="170"/>
      <c r="AF5" s="170"/>
      <c r="AG5" s="170"/>
      <c r="AH5" s="170"/>
      <c r="AI5" s="170"/>
      <c r="AJ5" s="170"/>
      <c r="AK5" s="49"/>
    </row>
    <row r="6" spans="1:42" ht="14.1" customHeight="1">
      <c r="A6" s="48"/>
      <c r="B6" s="209"/>
      <c r="C6" s="206" t="s">
        <v>154</v>
      </c>
      <c r="D6" s="170"/>
      <c r="E6" s="170"/>
      <c r="F6" s="170"/>
      <c r="G6" s="170"/>
      <c r="H6" s="170"/>
      <c r="I6" s="170"/>
      <c r="J6" s="170"/>
      <c r="K6" s="170"/>
      <c r="L6" s="170"/>
      <c r="M6" s="170"/>
      <c r="N6" s="170"/>
      <c r="O6" s="170"/>
      <c r="P6" s="170"/>
      <c r="Q6" s="170"/>
      <c r="R6" s="170"/>
      <c r="S6" s="170"/>
      <c r="T6" s="170"/>
      <c r="U6" s="170"/>
      <c r="V6" s="170"/>
      <c r="W6" s="170"/>
      <c r="X6" s="170"/>
      <c r="Y6" s="170"/>
      <c r="Z6" s="170"/>
      <c r="AA6" s="170"/>
      <c r="AB6" s="175" t="s">
        <v>37</v>
      </c>
      <c r="AC6" s="170"/>
      <c r="AD6" s="213" t="str">
        <f>IF(AP6=0,"",IF(AN6=1,"X",""))</f>
        <v/>
      </c>
      <c r="AE6" s="172" t="s">
        <v>27</v>
      </c>
      <c r="AF6" s="172"/>
      <c r="AG6" s="213" t="str">
        <f>IF(AP6=0,"",IF(AN6=0,"X",""))</f>
        <v/>
      </c>
      <c r="AH6" s="172" t="s">
        <v>28</v>
      </c>
      <c r="AI6" s="170"/>
      <c r="AJ6" s="170"/>
      <c r="AK6" s="49"/>
      <c r="AN6" s="245">
        <f>AN23*AN29*AN34*AN15</f>
        <v>0</v>
      </c>
      <c r="AP6" s="464">
        <f>IF('Warrant 1'!W9="",0,1)</f>
        <v>0</v>
      </c>
    </row>
    <row r="7" spans="1:42" ht="6" customHeight="1">
      <c r="A7" s="48"/>
      <c r="B7" s="45"/>
      <c r="C7" s="45"/>
      <c r="D7" s="45"/>
      <c r="E7" s="45"/>
      <c r="F7" s="45"/>
      <c r="G7" s="45"/>
      <c r="H7" s="45"/>
      <c r="I7" s="45"/>
      <c r="J7" s="45"/>
      <c r="K7" s="45"/>
      <c r="L7" s="45"/>
      <c r="M7" s="45"/>
      <c r="N7" s="45"/>
      <c r="O7" s="45"/>
      <c r="P7" s="45"/>
      <c r="Q7" s="45"/>
      <c r="R7" s="45"/>
      <c r="S7" s="45"/>
      <c r="T7" s="45"/>
      <c r="U7" s="45"/>
      <c r="V7" s="45"/>
      <c r="W7" s="45"/>
      <c r="X7" s="45"/>
      <c r="Y7" s="45"/>
      <c r="Z7" s="45"/>
      <c r="AA7" s="45"/>
      <c r="AB7" s="45"/>
      <c r="AC7" s="45"/>
      <c r="AD7" s="45"/>
      <c r="AE7" s="45"/>
      <c r="AF7" s="45"/>
      <c r="AG7" s="45"/>
      <c r="AH7" s="45"/>
      <c r="AI7" s="45"/>
      <c r="AJ7" s="45"/>
      <c r="AK7" s="49"/>
      <c r="AN7" s="18"/>
    </row>
    <row r="8" spans="1:42" ht="12" customHeight="1">
      <c r="A8" s="48"/>
      <c r="B8" s="45"/>
      <c r="C8" s="840" t="s">
        <v>235</v>
      </c>
      <c r="D8" s="840"/>
      <c r="E8" s="840"/>
      <c r="F8" s="840"/>
      <c r="G8" s="840"/>
      <c r="H8" s="840"/>
      <c r="I8" s="840"/>
      <c r="J8" s="840"/>
      <c r="K8" s="840"/>
      <c r="L8" s="840"/>
      <c r="M8" s="840"/>
      <c r="N8" s="840"/>
      <c r="O8" s="840"/>
      <c r="P8" s="840"/>
      <c r="Q8" s="840"/>
      <c r="R8" s="840"/>
      <c r="S8" s="840"/>
      <c r="T8" s="840"/>
      <c r="U8" s="840"/>
      <c r="V8" s="840"/>
      <c r="W8" s="840"/>
      <c r="X8" s="840"/>
      <c r="Y8" s="840"/>
      <c r="Z8" s="840"/>
      <c r="AA8" s="840"/>
      <c r="AB8" s="840"/>
      <c r="AC8" s="840"/>
      <c r="AD8" s="840"/>
      <c r="AE8" s="840"/>
      <c r="AF8" s="840"/>
      <c r="AG8" s="840"/>
      <c r="AH8" s="840"/>
      <c r="AI8" s="840"/>
      <c r="AJ8" s="45"/>
      <c r="AK8" s="49"/>
      <c r="AN8" s="18"/>
    </row>
    <row r="9" spans="1:42" ht="12" customHeight="1">
      <c r="A9" s="48"/>
      <c r="B9" s="45"/>
      <c r="C9" s="840"/>
      <c r="D9" s="840"/>
      <c r="E9" s="840"/>
      <c r="F9" s="840"/>
      <c r="G9" s="840"/>
      <c r="H9" s="840"/>
      <c r="I9" s="840"/>
      <c r="J9" s="840"/>
      <c r="K9" s="840"/>
      <c r="L9" s="840"/>
      <c r="M9" s="840"/>
      <c r="N9" s="840"/>
      <c r="O9" s="840"/>
      <c r="P9" s="840"/>
      <c r="Q9" s="840"/>
      <c r="R9" s="840"/>
      <c r="S9" s="840"/>
      <c r="T9" s="840"/>
      <c r="U9" s="840"/>
      <c r="V9" s="840"/>
      <c r="W9" s="840"/>
      <c r="X9" s="840"/>
      <c r="Y9" s="840"/>
      <c r="Z9" s="840"/>
      <c r="AA9" s="840"/>
      <c r="AB9" s="840"/>
      <c r="AC9" s="840"/>
      <c r="AD9" s="840"/>
      <c r="AE9" s="840"/>
      <c r="AF9" s="840"/>
      <c r="AG9" s="840"/>
      <c r="AH9" s="840"/>
      <c r="AI9" s="840"/>
      <c r="AJ9" s="45"/>
      <c r="AK9" s="49"/>
      <c r="AN9" s="18"/>
    </row>
    <row r="10" spans="1:42" ht="12" customHeight="1">
      <c r="A10" s="48"/>
      <c r="B10" s="45"/>
      <c r="C10" s="840"/>
      <c r="D10" s="840"/>
      <c r="E10" s="840"/>
      <c r="F10" s="840"/>
      <c r="G10" s="840"/>
      <c r="H10" s="840"/>
      <c r="I10" s="840"/>
      <c r="J10" s="840"/>
      <c r="K10" s="840"/>
      <c r="L10" s="840"/>
      <c r="M10" s="840"/>
      <c r="N10" s="840"/>
      <c r="O10" s="840"/>
      <c r="P10" s="840"/>
      <c r="Q10" s="840"/>
      <c r="R10" s="840"/>
      <c r="S10" s="840"/>
      <c r="T10" s="840"/>
      <c r="U10" s="840"/>
      <c r="V10" s="840"/>
      <c r="W10" s="840"/>
      <c r="X10" s="840"/>
      <c r="Y10" s="840"/>
      <c r="Z10" s="840"/>
      <c r="AA10" s="840"/>
      <c r="AB10" s="840"/>
      <c r="AC10" s="840"/>
      <c r="AD10" s="840"/>
      <c r="AE10" s="840"/>
      <c r="AF10" s="840"/>
      <c r="AG10" s="840"/>
      <c r="AH10" s="840"/>
      <c r="AI10" s="840"/>
      <c r="AJ10" s="45"/>
      <c r="AK10" s="49"/>
      <c r="AN10" s="18"/>
    </row>
    <row r="11" spans="1:42" ht="12" customHeight="1">
      <c r="A11" s="48"/>
      <c r="B11" s="45"/>
      <c r="C11" s="840"/>
      <c r="D11" s="840"/>
      <c r="E11" s="840"/>
      <c r="F11" s="840"/>
      <c r="G11" s="840"/>
      <c r="H11" s="840"/>
      <c r="I11" s="840"/>
      <c r="J11" s="840"/>
      <c r="K11" s="840"/>
      <c r="L11" s="840"/>
      <c r="M11" s="840"/>
      <c r="N11" s="840"/>
      <c r="O11" s="840"/>
      <c r="P11" s="840"/>
      <c r="Q11" s="840"/>
      <c r="R11" s="840"/>
      <c r="S11" s="840"/>
      <c r="T11" s="840"/>
      <c r="U11" s="840"/>
      <c r="V11" s="840"/>
      <c r="W11" s="840"/>
      <c r="X11" s="840"/>
      <c r="Y11" s="840"/>
      <c r="Z11" s="840"/>
      <c r="AA11" s="840"/>
      <c r="AB11" s="840"/>
      <c r="AC11" s="840"/>
      <c r="AD11" s="840"/>
      <c r="AE11" s="840"/>
      <c r="AF11" s="840"/>
      <c r="AG11" s="840"/>
      <c r="AH11" s="840"/>
      <c r="AI11" s="840"/>
      <c r="AJ11" s="45"/>
      <c r="AK11" s="49"/>
      <c r="AN11" s="18"/>
    </row>
    <row r="12" spans="1:42" ht="12" customHeight="1">
      <c r="A12" s="48"/>
      <c r="B12" s="45"/>
      <c r="C12" s="45"/>
      <c r="D12" s="45"/>
      <c r="E12" s="45"/>
      <c r="F12" s="45"/>
      <c r="G12" s="45"/>
      <c r="H12" s="45"/>
      <c r="I12" s="45"/>
      <c r="J12" s="45"/>
      <c r="K12" s="45"/>
      <c r="L12" s="45"/>
      <c r="M12" s="45"/>
      <c r="N12" s="45"/>
      <c r="O12" s="45"/>
      <c r="P12" s="45"/>
      <c r="Q12" s="45"/>
      <c r="R12" s="45"/>
      <c r="S12" s="45"/>
      <c r="T12" s="45"/>
      <c r="U12" s="45"/>
      <c r="V12" s="45"/>
      <c r="W12" s="45"/>
      <c r="X12" s="45"/>
      <c r="Y12" s="45"/>
      <c r="Z12" s="45"/>
      <c r="AA12" s="45"/>
      <c r="AB12" s="45"/>
      <c r="AC12" s="45"/>
      <c r="AD12" s="45"/>
      <c r="AE12" s="45"/>
      <c r="AF12" s="45"/>
      <c r="AG12" s="45"/>
      <c r="AH12" s="45"/>
      <c r="AI12" s="45"/>
      <c r="AJ12" s="45"/>
      <c r="AK12" s="49"/>
      <c r="AN12" s="18"/>
    </row>
    <row r="13" spans="1:42" ht="15" customHeight="1">
      <c r="A13" s="48"/>
      <c r="B13" s="45"/>
      <c r="C13" s="946" t="s">
        <v>155</v>
      </c>
      <c r="D13" s="946"/>
      <c r="E13" s="946"/>
      <c r="F13" s="946"/>
      <c r="G13" s="946"/>
      <c r="H13" s="946"/>
      <c r="I13" s="946"/>
      <c r="J13" s="946"/>
      <c r="K13" s="946"/>
      <c r="L13" s="946"/>
      <c r="M13" s="946"/>
      <c r="N13" s="946"/>
      <c r="O13" s="946"/>
      <c r="P13" s="946"/>
      <c r="Q13" s="946"/>
      <c r="R13" s="946"/>
      <c r="S13" s="946"/>
      <c r="T13" s="946"/>
      <c r="U13" s="946"/>
      <c r="V13" s="946"/>
      <c r="W13" s="946"/>
      <c r="X13" s="946"/>
      <c r="Y13" s="946"/>
      <c r="Z13" s="946"/>
      <c r="AA13" s="946"/>
      <c r="AB13" s="946"/>
      <c r="AC13" s="946"/>
      <c r="AD13" s="946"/>
      <c r="AE13" s="946"/>
      <c r="AF13" s="946"/>
      <c r="AG13" s="946"/>
      <c r="AH13" s="946"/>
      <c r="AI13" s="946"/>
      <c r="AJ13" s="45"/>
      <c r="AK13" s="49"/>
      <c r="AN13" s="18"/>
    </row>
    <row r="14" spans="1:42" ht="15" customHeight="1">
      <c r="A14" s="48"/>
      <c r="B14" s="45"/>
      <c r="C14" s="947"/>
      <c r="D14" s="947"/>
      <c r="E14" s="947"/>
      <c r="F14" s="947"/>
      <c r="G14" s="947"/>
      <c r="H14" s="947"/>
      <c r="I14" s="947"/>
      <c r="J14" s="947"/>
      <c r="K14" s="947"/>
      <c r="L14" s="947"/>
      <c r="M14" s="947"/>
      <c r="N14" s="947"/>
      <c r="O14" s="947"/>
      <c r="P14" s="947"/>
      <c r="Q14" s="947"/>
      <c r="R14" s="947"/>
      <c r="S14" s="947"/>
      <c r="T14" s="947"/>
      <c r="U14" s="947"/>
      <c r="V14" s="947"/>
      <c r="W14" s="947"/>
      <c r="X14" s="947"/>
      <c r="Y14" s="947"/>
      <c r="Z14" s="947"/>
      <c r="AA14" s="947"/>
      <c r="AB14" s="947"/>
      <c r="AC14" s="947"/>
      <c r="AD14" s="947"/>
      <c r="AE14" s="947"/>
      <c r="AF14" s="947"/>
      <c r="AG14" s="947"/>
      <c r="AH14" s="947"/>
      <c r="AI14" s="947"/>
      <c r="AJ14" s="45"/>
      <c r="AK14" s="49"/>
      <c r="AN14" s="18"/>
    </row>
    <row r="15" spans="1:42" ht="12" customHeight="1">
      <c r="A15" s="48"/>
      <c r="B15" s="45"/>
      <c r="C15" s="951"/>
      <c r="D15" s="952"/>
      <c r="E15" s="952"/>
      <c r="F15" s="952"/>
      <c r="G15" s="952"/>
      <c r="H15" s="952"/>
      <c r="I15" s="952"/>
      <c r="J15" s="952"/>
      <c r="K15" s="952"/>
      <c r="L15" s="952"/>
      <c r="M15" s="952"/>
      <c r="N15" s="952"/>
      <c r="O15" s="952"/>
      <c r="P15" s="952"/>
      <c r="Q15" s="952"/>
      <c r="R15" s="952"/>
      <c r="S15" s="952"/>
      <c r="T15" s="952"/>
      <c r="U15" s="952"/>
      <c r="V15" s="952"/>
      <c r="W15" s="952"/>
      <c r="X15" s="952"/>
      <c r="Y15" s="952"/>
      <c r="Z15" s="952"/>
      <c r="AA15" s="952"/>
      <c r="AB15" s="952"/>
      <c r="AC15" s="952"/>
      <c r="AD15" s="952"/>
      <c r="AE15" s="952"/>
      <c r="AF15" s="952"/>
      <c r="AG15" s="952"/>
      <c r="AH15" s="952"/>
      <c r="AI15" s="953"/>
      <c r="AJ15" s="45"/>
      <c r="AK15" s="49"/>
      <c r="AN15" s="18">
        <f>IF(C15="",0,1)</f>
        <v>0</v>
      </c>
    </row>
    <row r="16" spans="1:42" ht="12" customHeight="1">
      <c r="A16" s="48"/>
      <c r="B16" s="45"/>
      <c r="C16" s="954"/>
      <c r="D16" s="955"/>
      <c r="E16" s="955"/>
      <c r="F16" s="955"/>
      <c r="G16" s="955"/>
      <c r="H16" s="955"/>
      <c r="I16" s="955"/>
      <c r="J16" s="955"/>
      <c r="K16" s="955"/>
      <c r="L16" s="955"/>
      <c r="M16" s="955"/>
      <c r="N16" s="955"/>
      <c r="O16" s="955"/>
      <c r="P16" s="955"/>
      <c r="Q16" s="955"/>
      <c r="R16" s="955"/>
      <c r="S16" s="955"/>
      <c r="T16" s="955"/>
      <c r="U16" s="955"/>
      <c r="V16" s="955"/>
      <c r="W16" s="955"/>
      <c r="X16" s="955"/>
      <c r="Y16" s="955"/>
      <c r="Z16" s="955"/>
      <c r="AA16" s="955"/>
      <c r="AB16" s="955"/>
      <c r="AC16" s="955"/>
      <c r="AD16" s="955"/>
      <c r="AE16" s="955"/>
      <c r="AF16" s="955"/>
      <c r="AG16" s="955"/>
      <c r="AH16" s="955"/>
      <c r="AI16" s="956"/>
      <c r="AJ16" s="45"/>
      <c r="AK16" s="49"/>
      <c r="AN16" s="18"/>
    </row>
    <row r="17" spans="1:53" ht="12" customHeight="1">
      <c r="A17" s="48"/>
      <c r="B17" s="45"/>
      <c r="C17" s="954"/>
      <c r="D17" s="955"/>
      <c r="E17" s="955"/>
      <c r="F17" s="955"/>
      <c r="G17" s="955"/>
      <c r="H17" s="955"/>
      <c r="I17" s="955"/>
      <c r="J17" s="955"/>
      <c r="K17" s="955"/>
      <c r="L17" s="955"/>
      <c r="M17" s="955"/>
      <c r="N17" s="955"/>
      <c r="O17" s="955"/>
      <c r="P17" s="955"/>
      <c r="Q17" s="955"/>
      <c r="R17" s="955"/>
      <c r="S17" s="955"/>
      <c r="T17" s="955"/>
      <c r="U17" s="955"/>
      <c r="V17" s="955"/>
      <c r="W17" s="955"/>
      <c r="X17" s="955"/>
      <c r="Y17" s="955"/>
      <c r="Z17" s="955"/>
      <c r="AA17" s="955"/>
      <c r="AB17" s="955"/>
      <c r="AC17" s="955"/>
      <c r="AD17" s="955"/>
      <c r="AE17" s="955"/>
      <c r="AF17" s="955"/>
      <c r="AG17" s="955"/>
      <c r="AH17" s="955"/>
      <c r="AI17" s="956"/>
      <c r="AJ17" s="45"/>
      <c r="AK17" s="49"/>
      <c r="AN17" s="18"/>
    </row>
    <row r="18" spans="1:53" ht="12" customHeight="1">
      <c r="A18" s="48"/>
      <c r="B18" s="45"/>
      <c r="C18" s="954"/>
      <c r="D18" s="955"/>
      <c r="E18" s="955"/>
      <c r="F18" s="955"/>
      <c r="G18" s="955"/>
      <c r="H18" s="955"/>
      <c r="I18" s="955"/>
      <c r="J18" s="955"/>
      <c r="K18" s="955"/>
      <c r="L18" s="955"/>
      <c r="M18" s="955"/>
      <c r="N18" s="955"/>
      <c r="O18" s="955"/>
      <c r="P18" s="955"/>
      <c r="Q18" s="955"/>
      <c r="R18" s="955"/>
      <c r="S18" s="955"/>
      <c r="T18" s="955"/>
      <c r="U18" s="955"/>
      <c r="V18" s="955"/>
      <c r="W18" s="955"/>
      <c r="X18" s="955"/>
      <c r="Y18" s="955"/>
      <c r="Z18" s="955"/>
      <c r="AA18" s="955"/>
      <c r="AB18" s="955"/>
      <c r="AC18" s="955"/>
      <c r="AD18" s="955"/>
      <c r="AE18" s="955"/>
      <c r="AF18" s="955"/>
      <c r="AG18" s="955"/>
      <c r="AH18" s="955"/>
      <c r="AI18" s="956"/>
      <c r="AJ18" s="45"/>
      <c r="AK18" s="49"/>
      <c r="AN18" s="18"/>
    </row>
    <row r="19" spans="1:53" ht="12" customHeight="1">
      <c r="A19" s="48"/>
      <c r="B19" s="45"/>
      <c r="C19" s="957"/>
      <c r="D19" s="958"/>
      <c r="E19" s="958"/>
      <c r="F19" s="958"/>
      <c r="G19" s="958"/>
      <c r="H19" s="958"/>
      <c r="I19" s="958"/>
      <c r="J19" s="958"/>
      <c r="K19" s="958"/>
      <c r="L19" s="958"/>
      <c r="M19" s="958"/>
      <c r="N19" s="958"/>
      <c r="O19" s="958"/>
      <c r="P19" s="958"/>
      <c r="Q19" s="958"/>
      <c r="R19" s="958"/>
      <c r="S19" s="958"/>
      <c r="T19" s="958"/>
      <c r="U19" s="958"/>
      <c r="V19" s="958"/>
      <c r="W19" s="958"/>
      <c r="X19" s="958"/>
      <c r="Y19" s="958"/>
      <c r="Z19" s="958"/>
      <c r="AA19" s="958"/>
      <c r="AB19" s="958"/>
      <c r="AC19" s="958"/>
      <c r="AD19" s="958"/>
      <c r="AE19" s="958"/>
      <c r="AF19" s="958"/>
      <c r="AG19" s="958"/>
      <c r="AH19" s="958"/>
      <c r="AI19" s="959"/>
      <c r="AJ19" s="45"/>
      <c r="AK19" s="49"/>
      <c r="AN19" s="18"/>
    </row>
    <row r="20" spans="1:53" ht="12" customHeight="1" thickBot="1">
      <c r="A20" s="48"/>
      <c r="B20" s="45"/>
      <c r="C20" s="45"/>
      <c r="D20" s="45"/>
      <c r="E20" s="45"/>
      <c r="F20" s="45"/>
      <c r="G20" s="45"/>
      <c r="H20" s="45"/>
      <c r="I20" s="45"/>
      <c r="J20" s="45"/>
      <c r="K20" s="45"/>
      <c r="L20" s="45"/>
      <c r="M20" s="45"/>
      <c r="N20" s="45"/>
      <c r="O20" s="45"/>
      <c r="P20" s="45"/>
      <c r="Q20" s="45"/>
      <c r="R20" s="45"/>
      <c r="S20" s="45"/>
      <c r="T20" s="45"/>
      <c r="U20" s="45"/>
      <c r="V20" s="45"/>
      <c r="W20" s="45"/>
      <c r="X20" s="45"/>
      <c r="Y20" s="45"/>
      <c r="Z20" s="45"/>
      <c r="AA20" s="45"/>
      <c r="AB20" s="45"/>
      <c r="AC20" s="45"/>
      <c r="AD20" s="45"/>
      <c r="AE20" s="45"/>
      <c r="AF20" s="45"/>
      <c r="AG20" s="45"/>
      <c r="AH20" s="45"/>
      <c r="AI20" s="45"/>
      <c r="AJ20" s="45"/>
      <c r="AK20" s="49"/>
      <c r="AN20" s="18"/>
    </row>
    <row r="21" spans="1:53" ht="15" customHeight="1" thickTop="1">
      <c r="A21" s="48"/>
      <c r="B21" s="45"/>
      <c r="C21" s="889" t="s">
        <v>162</v>
      </c>
      <c r="D21" s="819"/>
      <c r="E21" s="819"/>
      <c r="F21" s="819"/>
      <c r="G21" s="819"/>
      <c r="H21" s="819"/>
      <c r="I21" s="819"/>
      <c r="J21" s="819"/>
      <c r="K21" s="819"/>
      <c r="L21" s="819"/>
      <c r="M21" s="819"/>
      <c r="N21" s="819"/>
      <c r="O21" s="819"/>
      <c r="P21" s="819"/>
      <c r="Q21" s="819"/>
      <c r="R21" s="819"/>
      <c r="S21" s="819"/>
      <c r="T21" s="819"/>
      <c r="U21" s="819"/>
      <c r="V21" s="819"/>
      <c r="W21" s="819"/>
      <c r="X21" s="819"/>
      <c r="Y21" s="819"/>
      <c r="Z21" s="819"/>
      <c r="AA21" s="819"/>
      <c r="AB21" s="819"/>
      <c r="AC21" s="819"/>
      <c r="AD21" s="819"/>
      <c r="AE21" s="890"/>
      <c r="AF21" s="893" t="s">
        <v>145</v>
      </c>
      <c r="AG21" s="894"/>
      <c r="AH21" s="894"/>
      <c r="AI21" s="895"/>
      <c r="AJ21" s="45"/>
      <c r="AK21" s="49"/>
      <c r="AN21" s="18"/>
    </row>
    <row r="22" spans="1:53" ht="15" customHeight="1" thickBot="1">
      <c r="A22" s="48"/>
      <c r="B22" s="45"/>
      <c r="C22" s="891"/>
      <c r="D22" s="825"/>
      <c r="E22" s="825"/>
      <c r="F22" s="825"/>
      <c r="G22" s="825"/>
      <c r="H22" s="825"/>
      <c r="I22" s="825"/>
      <c r="J22" s="825"/>
      <c r="K22" s="825"/>
      <c r="L22" s="825"/>
      <c r="M22" s="825"/>
      <c r="N22" s="825"/>
      <c r="O22" s="825"/>
      <c r="P22" s="825"/>
      <c r="Q22" s="825"/>
      <c r="R22" s="825"/>
      <c r="S22" s="825"/>
      <c r="T22" s="825"/>
      <c r="U22" s="825"/>
      <c r="V22" s="825"/>
      <c r="W22" s="825"/>
      <c r="X22" s="825"/>
      <c r="Y22" s="825"/>
      <c r="Z22" s="825"/>
      <c r="AA22" s="825"/>
      <c r="AB22" s="825"/>
      <c r="AC22" s="825"/>
      <c r="AD22" s="825"/>
      <c r="AE22" s="892"/>
      <c r="AF22" s="948" t="s">
        <v>27</v>
      </c>
      <c r="AG22" s="949"/>
      <c r="AH22" s="949" t="s">
        <v>28</v>
      </c>
      <c r="AI22" s="950"/>
      <c r="AJ22" s="45"/>
      <c r="AK22" s="49"/>
      <c r="AN22" s="18"/>
    </row>
    <row r="23" spans="1:53" ht="12.95" customHeight="1">
      <c r="A23" s="48"/>
      <c r="B23" s="45"/>
      <c r="C23" s="227" t="s">
        <v>156</v>
      </c>
      <c r="D23" s="864" t="s">
        <v>238</v>
      </c>
      <c r="E23" s="864"/>
      <c r="F23" s="864"/>
      <c r="G23" s="864"/>
      <c r="H23" s="864"/>
      <c r="I23" s="864"/>
      <c r="J23" s="864"/>
      <c r="K23" s="864"/>
      <c r="L23" s="864"/>
      <c r="M23" s="864"/>
      <c r="N23" s="864"/>
      <c r="O23" s="864"/>
      <c r="P23" s="864"/>
      <c r="Q23" s="864"/>
      <c r="R23" s="864"/>
      <c r="S23" s="864"/>
      <c r="T23" s="864"/>
      <c r="U23" s="864"/>
      <c r="V23" s="865"/>
      <c r="W23" s="907" t="s">
        <v>236</v>
      </c>
      <c r="X23" s="908"/>
      <c r="Y23" s="909"/>
      <c r="Z23" s="907" t="s">
        <v>237</v>
      </c>
      <c r="AA23" s="908"/>
      <c r="AB23" s="908"/>
      <c r="AC23" s="908"/>
      <c r="AD23" s="908"/>
      <c r="AE23" s="913"/>
      <c r="AF23" s="841" t="str">
        <f>IF(AP6=0,"",IF(AN23=1,"X",""))</f>
        <v/>
      </c>
      <c r="AG23" s="842"/>
      <c r="AH23" s="847" t="str">
        <f>IF(AP6=0,"",IF(AF23="","X",""))</f>
        <v/>
      </c>
      <c r="AI23" s="848"/>
      <c r="AJ23" s="45"/>
      <c r="AK23" s="49"/>
      <c r="AN23" s="245">
        <f>IF(AR23=1,IF(W25&gt;=20,1,0),IF(AR25=0,IF(W25&gt;=20,1,0),IF(AR25&gt;=20,1,0)))</f>
        <v>0</v>
      </c>
      <c r="AR23" s="18">
        <f>IF(AT23=AX23,1,0)</f>
        <v>0</v>
      </c>
      <c r="AT23" s="827">
        <f>TRUNC(AD25-Z25,6)</f>
        <v>0</v>
      </c>
      <c r="AU23" s="827"/>
      <c r="AV23" s="827"/>
      <c r="AW23" s="827"/>
      <c r="AX23" s="827">
        <v>4.1666000000000002E-2</v>
      </c>
      <c r="AY23" s="827"/>
      <c r="AZ23" s="827"/>
      <c r="BA23" s="827"/>
    </row>
    <row r="24" spans="1:53" ht="12.95" customHeight="1">
      <c r="A24" s="48"/>
      <c r="B24" s="45"/>
      <c r="C24" s="413"/>
      <c r="D24" s="866"/>
      <c r="E24" s="866"/>
      <c r="F24" s="866"/>
      <c r="G24" s="866"/>
      <c r="H24" s="866"/>
      <c r="I24" s="866"/>
      <c r="J24" s="866"/>
      <c r="K24" s="866"/>
      <c r="L24" s="866"/>
      <c r="M24" s="866"/>
      <c r="N24" s="866"/>
      <c r="O24" s="866"/>
      <c r="P24" s="866"/>
      <c r="Q24" s="866"/>
      <c r="R24" s="866"/>
      <c r="S24" s="866"/>
      <c r="T24" s="866"/>
      <c r="U24" s="866"/>
      <c r="V24" s="867"/>
      <c r="W24" s="910"/>
      <c r="X24" s="911"/>
      <c r="Y24" s="912"/>
      <c r="Z24" s="910"/>
      <c r="AA24" s="911"/>
      <c r="AB24" s="911"/>
      <c r="AC24" s="911"/>
      <c r="AD24" s="911"/>
      <c r="AE24" s="914"/>
      <c r="AF24" s="843"/>
      <c r="AG24" s="844"/>
      <c r="AH24" s="821"/>
      <c r="AI24" s="823"/>
      <c r="AJ24" s="45"/>
      <c r="AK24" s="49"/>
      <c r="AN24" s="370"/>
      <c r="AR24" s="18"/>
      <c r="AT24" s="369"/>
      <c r="AU24" s="369"/>
      <c r="AV24" s="369"/>
      <c r="AW24" s="369"/>
      <c r="AX24" s="369"/>
      <c r="AY24" s="369"/>
      <c r="AZ24" s="369"/>
      <c r="BA24" s="369"/>
    </row>
    <row r="25" spans="1:53" ht="12.95" customHeight="1">
      <c r="A25" s="48"/>
      <c r="B25" s="45"/>
      <c r="C25" s="216"/>
      <c r="D25" s="866"/>
      <c r="E25" s="866"/>
      <c r="F25" s="866"/>
      <c r="G25" s="866"/>
      <c r="H25" s="866"/>
      <c r="I25" s="866"/>
      <c r="J25" s="866"/>
      <c r="K25" s="866"/>
      <c r="L25" s="866"/>
      <c r="M25" s="866"/>
      <c r="N25" s="866"/>
      <c r="O25" s="866"/>
      <c r="P25" s="866"/>
      <c r="Q25" s="866"/>
      <c r="R25" s="866"/>
      <c r="S25" s="866"/>
      <c r="T25" s="866"/>
      <c r="U25" s="866"/>
      <c r="V25" s="867"/>
      <c r="W25" s="915"/>
      <c r="X25" s="916"/>
      <c r="Y25" s="917"/>
      <c r="Z25" s="921"/>
      <c r="AA25" s="922"/>
      <c r="AB25" s="927" t="s">
        <v>160</v>
      </c>
      <c r="AC25" s="927"/>
      <c r="AD25" s="922"/>
      <c r="AE25" s="925"/>
      <c r="AF25" s="843"/>
      <c r="AG25" s="844"/>
      <c r="AH25" s="821"/>
      <c r="AI25" s="823"/>
      <c r="AJ25" s="45"/>
      <c r="AK25" s="49"/>
      <c r="AN25" s="18"/>
      <c r="AR25" s="18">
        <f>IF(AT23&gt;AX23,(AX23/AT23)*W25,0)</f>
        <v>0</v>
      </c>
    </row>
    <row r="26" spans="1:53" ht="12.95" customHeight="1" thickBot="1">
      <c r="A26" s="48"/>
      <c r="B26" s="45"/>
      <c r="C26" s="218"/>
      <c r="D26" s="868"/>
      <c r="E26" s="868"/>
      <c r="F26" s="868"/>
      <c r="G26" s="868"/>
      <c r="H26" s="868"/>
      <c r="I26" s="868"/>
      <c r="J26" s="868"/>
      <c r="K26" s="868"/>
      <c r="L26" s="868"/>
      <c r="M26" s="868"/>
      <c r="N26" s="868"/>
      <c r="O26" s="868"/>
      <c r="P26" s="868"/>
      <c r="Q26" s="868"/>
      <c r="R26" s="868"/>
      <c r="S26" s="868"/>
      <c r="T26" s="868"/>
      <c r="U26" s="868"/>
      <c r="V26" s="869"/>
      <c r="W26" s="918"/>
      <c r="X26" s="919"/>
      <c r="Y26" s="920"/>
      <c r="Z26" s="923"/>
      <c r="AA26" s="924"/>
      <c r="AB26" s="928"/>
      <c r="AC26" s="928"/>
      <c r="AD26" s="924"/>
      <c r="AE26" s="926"/>
      <c r="AF26" s="845"/>
      <c r="AG26" s="846"/>
      <c r="AH26" s="824"/>
      <c r="AI26" s="826"/>
      <c r="AJ26" s="45"/>
      <c r="AK26" s="49"/>
      <c r="AN26" s="18"/>
      <c r="AR26" s="18"/>
    </row>
    <row r="27" spans="1:53" ht="14.1" customHeight="1">
      <c r="A27" s="48"/>
      <c r="B27" s="45"/>
      <c r="C27" s="227" t="s">
        <v>157</v>
      </c>
      <c r="D27" s="855" t="s">
        <v>240</v>
      </c>
      <c r="E27" s="855"/>
      <c r="F27" s="855"/>
      <c r="G27" s="855"/>
      <c r="H27" s="855"/>
      <c r="I27" s="855"/>
      <c r="J27" s="855"/>
      <c r="K27" s="855"/>
      <c r="L27" s="855"/>
      <c r="M27" s="855"/>
      <c r="N27" s="855"/>
      <c r="O27" s="855"/>
      <c r="P27" s="855"/>
      <c r="Q27" s="855"/>
      <c r="R27" s="855"/>
      <c r="S27" s="855"/>
      <c r="T27" s="855"/>
      <c r="U27" s="855"/>
      <c r="V27" s="855"/>
      <c r="W27" s="855"/>
      <c r="X27" s="220"/>
      <c r="Y27" s="230"/>
      <c r="Z27" s="870" t="s">
        <v>239</v>
      </c>
      <c r="AA27" s="871"/>
      <c r="AB27" s="871"/>
      <c r="AC27" s="871"/>
      <c r="AD27" s="871"/>
      <c r="AE27" s="872"/>
      <c r="AF27" s="841" t="str">
        <f>IF(AP6=0,"",IF(AN29=1,"X",""))</f>
        <v/>
      </c>
      <c r="AG27" s="842"/>
      <c r="AH27" s="847" t="str">
        <f>IF(AP6=0,"",IF(AF27="","X",""))</f>
        <v/>
      </c>
      <c r="AI27" s="848"/>
      <c r="AJ27" s="45"/>
      <c r="AK27" s="49"/>
      <c r="AN27" s="18"/>
      <c r="AR27" s="18"/>
    </row>
    <row r="28" spans="1:53" ht="14.1" customHeight="1">
      <c r="A28" s="48"/>
      <c r="B28" s="45"/>
      <c r="C28" s="413"/>
      <c r="D28" s="856"/>
      <c r="E28" s="856"/>
      <c r="F28" s="856"/>
      <c r="G28" s="856"/>
      <c r="H28" s="856"/>
      <c r="I28" s="856"/>
      <c r="J28" s="856"/>
      <c r="K28" s="856"/>
      <c r="L28" s="856"/>
      <c r="M28" s="856"/>
      <c r="N28" s="856"/>
      <c r="O28" s="856"/>
      <c r="P28" s="856"/>
      <c r="Q28" s="856"/>
      <c r="R28" s="856"/>
      <c r="S28" s="856"/>
      <c r="T28" s="856"/>
      <c r="U28" s="856"/>
      <c r="V28" s="856"/>
      <c r="W28" s="856"/>
      <c r="X28" s="417"/>
      <c r="Y28" s="418"/>
      <c r="Z28" s="873" t="s">
        <v>164</v>
      </c>
      <c r="AA28" s="874"/>
      <c r="AB28" s="875"/>
      <c r="AC28" s="873" t="s">
        <v>163</v>
      </c>
      <c r="AD28" s="874"/>
      <c r="AE28" s="876"/>
      <c r="AF28" s="843"/>
      <c r="AG28" s="844"/>
      <c r="AH28" s="821"/>
      <c r="AI28" s="823"/>
      <c r="AJ28" s="45"/>
      <c r="AK28" s="49"/>
      <c r="AN28" s="18"/>
      <c r="AR28" s="18"/>
    </row>
    <row r="29" spans="1:53" ht="14.1" customHeight="1">
      <c r="A29" s="48"/>
      <c r="B29" s="45"/>
      <c r="C29" s="216"/>
      <c r="D29" s="856"/>
      <c r="E29" s="856"/>
      <c r="F29" s="856"/>
      <c r="G29" s="856"/>
      <c r="H29" s="856"/>
      <c r="I29" s="856"/>
      <c r="J29" s="856"/>
      <c r="K29" s="856"/>
      <c r="L29" s="856"/>
      <c r="M29" s="856"/>
      <c r="N29" s="856"/>
      <c r="O29" s="856"/>
      <c r="P29" s="856"/>
      <c r="Q29" s="856"/>
      <c r="R29" s="856"/>
      <c r="S29" s="856"/>
      <c r="T29" s="856"/>
      <c r="U29" s="856"/>
      <c r="V29" s="856"/>
      <c r="W29" s="856"/>
      <c r="X29" s="944" t="s">
        <v>165</v>
      </c>
      <c r="Y29" s="945"/>
      <c r="Z29" s="852"/>
      <c r="AA29" s="853"/>
      <c r="AB29" s="880"/>
      <c r="AC29" s="852"/>
      <c r="AD29" s="853"/>
      <c r="AE29" s="854"/>
      <c r="AF29" s="843"/>
      <c r="AG29" s="844"/>
      <c r="AH29" s="821"/>
      <c r="AI29" s="823"/>
      <c r="AJ29" s="45"/>
      <c r="AK29" s="49"/>
      <c r="AN29" s="245">
        <f>IF(AR29=1,1,IF(AR30=1,1,0))</f>
        <v>0</v>
      </c>
      <c r="AR29" s="18">
        <f>IF(AC29="",0,IF(AC29&lt;=Z29,1,0))</f>
        <v>0</v>
      </c>
    </row>
    <row r="30" spans="1:53" ht="14.1" customHeight="1" thickBot="1">
      <c r="A30" s="48"/>
      <c r="B30" s="45"/>
      <c r="C30" s="218"/>
      <c r="D30" s="857"/>
      <c r="E30" s="857"/>
      <c r="F30" s="857"/>
      <c r="G30" s="857"/>
      <c r="H30" s="857"/>
      <c r="I30" s="857"/>
      <c r="J30" s="857"/>
      <c r="K30" s="857"/>
      <c r="L30" s="857"/>
      <c r="M30" s="857"/>
      <c r="N30" s="857"/>
      <c r="O30" s="857"/>
      <c r="P30" s="857"/>
      <c r="Q30" s="857"/>
      <c r="R30" s="857"/>
      <c r="S30" s="857"/>
      <c r="T30" s="857"/>
      <c r="U30" s="857"/>
      <c r="V30" s="857"/>
      <c r="W30" s="857"/>
      <c r="X30" s="878" t="s">
        <v>166</v>
      </c>
      <c r="Y30" s="879"/>
      <c r="Z30" s="849"/>
      <c r="AA30" s="850"/>
      <c r="AB30" s="851"/>
      <c r="AC30" s="849"/>
      <c r="AD30" s="850"/>
      <c r="AE30" s="943"/>
      <c r="AF30" s="845"/>
      <c r="AG30" s="846"/>
      <c r="AH30" s="824"/>
      <c r="AI30" s="826"/>
      <c r="AJ30" s="45"/>
      <c r="AK30" s="49"/>
      <c r="AN30" s="18"/>
      <c r="AR30" s="18">
        <f>IF(AC30="",0,IF(AC30&lt;=Z30,1,0))</f>
        <v>0</v>
      </c>
    </row>
    <row r="31" spans="1:53" ht="6" customHeight="1">
      <c r="A31" s="48"/>
      <c r="B31" s="45"/>
      <c r="C31" s="221"/>
      <c r="D31" s="217"/>
      <c r="E31" s="217"/>
      <c r="F31" s="217"/>
      <c r="G31" s="217"/>
      <c r="H31" s="217"/>
      <c r="I31" s="217"/>
      <c r="J31" s="217"/>
      <c r="K31" s="217"/>
      <c r="L31" s="217"/>
      <c r="M31" s="217"/>
      <c r="N31" s="217"/>
      <c r="O31" s="217"/>
      <c r="P31" s="217"/>
      <c r="Q31" s="217"/>
      <c r="R31" s="217"/>
      <c r="S31" s="217"/>
      <c r="T31" s="217"/>
      <c r="U31" s="217"/>
      <c r="V31" s="217"/>
      <c r="W31" s="217"/>
      <c r="X31" s="217"/>
      <c r="Y31" s="217"/>
      <c r="Z31" s="217"/>
      <c r="AA31" s="217"/>
      <c r="AB31" s="217"/>
      <c r="AC31" s="217"/>
      <c r="AD31" s="217"/>
      <c r="AE31" s="222"/>
      <c r="AF31" s="841" t="str">
        <f>IF(AP6=0,"",IF(AN34=1,"X",""))</f>
        <v/>
      </c>
      <c r="AG31" s="842"/>
      <c r="AH31" s="847" t="str">
        <f>IF(AP6=0,"",IF(AF31="","X",""))</f>
        <v/>
      </c>
      <c r="AI31" s="848"/>
      <c r="AJ31" s="45"/>
      <c r="AK31" s="49"/>
      <c r="AN31" s="18"/>
    </row>
    <row r="32" spans="1:53" ht="6.6" customHeight="1">
      <c r="A32" s="48"/>
      <c r="B32" s="45"/>
      <c r="C32" s="859" t="s">
        <v>158</v>
      </c>
      <c r="D32" s="860" t="s">
        <v>242</v>
      </c>
      <c r="E32" s="860"/>
      <c r="F32" s="860"/>
      <c r="G32" s="860"/>
      <c r="H32" s="860"/>
      <c r="I32" s="860"/>
      <c r="J32" s="860"/>
      <c r="K32" s="860"/>
      <c r="L32" s="860"/>
      <c r="M32" s="860"/>
      <c r="N32" s="860"/>
      <c r="O32" s="860"/>
      <c r="P32" s="860"/>
      <c r="Q32" s="860"/>
      <c r="R32" s="860"/>
      <c r="S32" s="860"/>
      <c r="T32" s="860"/>
      <c r="U32" s="860"/>
      <c r="V32" s="860"/>
      <c r="W32" s="860"/>
      <c r="X32" s="860"/>
      <c r="Y32" s="860"/>
      <c r="Z32" s="215"/>
      <c r="AA32" s="215"/>
      <c r="AB32" s="215"/>
      <c r="AC32" s="215"/>
      <c r="AD32" s="215"/>
      <c r="AE32" s="223"/>
      <c r="AF32" s="843"/>
      <c r="AG32" s="844"/>
      <c r="AH32" s="821"/>
      <c r="AI32" s="823"/>
      <c r="AJ32" s="45"/>
      <c r="AK32" s="49"/>
      <c r="AN32" s="18"/>
    </row>
    <row r="33" spans="1:42" ht="14.1" customHeight="1">
      <c r="A33" s="48"/>
      <c r="B33" s="45"/>
      <c r="C33" s="859"/>
      <c r="D33" s="860"/>
      <c r="E33" s="860"/>
      <c r="F33" s="860"/>
      <c r="G33" s="860"/>
      <c r="H33" s="860"/>
      <c r="I33" s="860"/>
      <c r="J33" s="860"/>
      <c r="K33" s="860"/>
      <c r="L33" s="860"/>
      <c r="M33" s="860"/>
      <c r="N33" s="860"/>
      <c r="O33" s="860"/>
      <c r="P33" s="860"/>
      <c r="Q33" s="860"/>
      <c r="R33" s="860"/>
      <c r="S33" s="860"/>
      <c r="T33" s="860"/>
      <c r="U33" s="860"/>
      <c r="V33" s="860"/>
      <c r="W33" s="860"/>
      <c r="X33" s="860"/>
      <c r="Y33" s="860"/>
      <c r="Z33" s="432"/>
      <c r="AA33" s="861" t="s">
        <v>27</v>
      </c>
      <c r="AB33" s="863"/>
      <c r="AC33" s="212" t="str">
        <f>IF(AP6=0,"",IF(Z33="X","","X"))</f>
        <v/>
      </c>
      <c r="AD33" s="861" t="s">
        <v>28</v>
      </c>
      <c r="AE33" s="862"/>
      <c r="AF33" s="843"/>
      <c r="AG33" s="844"/>
      <c r="AH33" s="821"/>
      <c r="AI33" s="823"/>
      <c r="AJ33" s="45"/>
      <c r="AK33" s="49"/>
      <c r="AN33" s="18"/>
      <c r="AP33" s="18">
        <f>IF(Z33="X",1,0)</f>
        <v>0</v>
      </c>
    </row>
    <row r="34" spans="1:42" ht="6.6" customHeight="1">
      <c r="A34" s="48"/>
      <c r="B34" s="45"/>
      <c r="C34" s="859"/>
      <c r="D34" s="860"/>
      <c r="E34" s="860"/>
      <c r="F34" s="860"/>
      <c r="G34" s="860"/>
      <c r="H34" s="860"/>
      <c r="I34" s="860"/>
      <c r="J34" s="860"/>
      <c r="K34" s="860"/>
      <c r="L34" s="860"/>
      <c r="M34" s="860"/>
      <c r="N34" s="860"/>
      <c r="O34" s="860"/>
      <c r="P34" s="860"/>
      <c r="Q34" s="860"/>
      <c r="R34" s="860"/>
      <c r="S34" s="860"/>
      <c r="T34" s="860"/>
      <c r="U34" s="860"/>
      <c r="V34" s="860"/>
      <c r="W34" s="860"/>
      <c r="X34" s="860"/>
      <c r="Y34" s="860"/>
      <c r="Z34" s="183"/>
      <c r="AA34" s="228"/>
      <c r="AB34" s="228"/>
      <c r="AC34" s="183"/>
      <c r="AD34" s="228"/>
      <c r="AE34" s="229"/>
      <c r="AF34" s="843"/>
      <c r="AG34" s="844"/>
      <c r="AH34" s="821"/>
      <c r="AI34" s="823"/>
      <c r="AJ34" s="45"/>
      <c r="AK34" s="49"/>
      <c r="AN34" s="858">
        <f>IF(AP33=1,1,IF(AP37=1,1,0))</f>
        <v>0</v>
      </c>
      <c r="AP34" s="18"/>
    </row>
    <row r="35" spans="1:42" ht="9" customHeight="1">
      <c r="A35" s="48"/>
      <c r="B35" s="45"/>
      <c r="C35" s="216"/>
      <c r="D35" s="215"/>
      <c r="E35" s="215"/>
      <c r="F35" s="215"/>
      <c r="G35" s="215"/>
      <c r="H35" s="215"/>
      <c r="I35" s="215"/>
      <c r="J35" s="215"/>
      <c r="K35" s="215"/>
      <c r="L35" s="215"/>
      <c r="M35" s="215"/>
      <c r="N35" s="215"/>
      <c r="O35" s="215"/>
      <c r="P35" s="215"/>
      <c r="Q35" s="215"/>
      <c r="R35" s="215"/>
      <c r="S35" s="215"/>
      <c r="T35" s="215"/>
      <c r="U35" s="215"/>
      <c r="V35" s="215"/>
      <c r="W35" s="215"/>
      <c r="X35" s="215"/>
      <c r="Y35" s="215"/>
      <c r="Z35" s="215"/>
      <c r="AA35" s="215"/>
      <c r="AB35" s="215"/>
      <c r="AC35" s="215"/>
      <c r="AD35" s="215"/>
      <c r="AE35" s="223"/>
      <c r="AF35" s="843"/>
      <c r="AG35" s="844"/>
      <c r="AH35" s="821"/>
      <c r="AI35" s="823"/>
      <c r="AJ35" s="45"/>
      <c r="AK35" s="49"/>
      <c r="AN35" s="858"/>
      <c r="AP35" s="18"/>
    </row>
    <row r="36" spans="1:42" ht="6.6" customHeight="1">
      <c r="A36" s="48"/>
      <c r="B36" s="45"/>
      <c r="C36" s="216"/>
      <c r="D36" s="877" t="s">
        <v>241</v>
      </c>
      <c r="E36" s="877"/>
      <c r="F36" s="877"/>
      <c r="G36" s="877"/>
      <c r="H36" s="877"/>
      <c r="I36" s="877"/>
      <c r="J36" s="877"/>
      <c r="K36" s="877"/>
      <c r="L36" s="877"/>
      <c r="M36" s="877"/>
      <c r="N36" s="877"/>
      <c r="O36" s="877"/>
      <c r="P36" s="877"/>
      <c r="Q36" s="877"/>
      <c r="R36" s="877"/>
      <c r="S36" s="877"/>
      <c r="T36" s="877"/>
      <c r="U36" s="877"/>
      <c r="V36" s="877"/>
      <c r="W36" s="877"/>
      <c r="X36" s="877"/>
      <c r="Y36" s="877"/>
      <c r="Z36" s="215"/>
      <c r="AA36" s="215"/>
      <c r="AB36" s="215"/>
      <c r="AC36" s="215"/>
      <c r="AD36" s="215"/>
      <c r="AE36" s="223"/>
      <c r="AF36" s="843"/>
      <c r="AG36" s="844"/>
      <c r="AH36" s="821"/>
      <c r="AI36" s="823"/>
      <c r="AJ36" s="45"/>
      <c r="AK36" s="49"/>
      <c r="AN36" s="370"/>
      <c r="AP36" s="18"/>
    </row>
    <row r="37" spans="1:42" ht="14.1" customHeight="1">
      <c r="A37" s="48"/>
      <c r="B37" s="45"/>
      <c r="C37" s="216"/>
      <c r="D37" s="877"/>
      <c r="E37" s="877"/>
      <c r="F37" s="877"/>
      <c r="G37" s="877"/>
      <c r="H37" s="877"/>
      <c r="I37" s="877"/>
      <c r="J37" s="877"/>
      <c r="K37" s="877"/>
      <c r="L37" s="877"/>
      <c r="M37" s="877"/>
      <c r="N37" s="877"/>
      <c r="O37" s="877"/>
      <c r="P37" s="877"/>
      <c r="Q37" s="877"/>
      <c r="R37" s="877"/>
      <c r="S37" s="877"/>
      <c r="T37" s="877"/>
      <c r="U37" s="877"/>
      <c r="V37" s="877"/>
      <c r="W37" s="877"/>
      <c r="X37" s="877"/>
      <c r="Y37" s="877"/>
      <c r="Z37" s="433" t="str">
        <f>IF(AP6=0,"",IF(AC37="X","","X"))</f>
        <v/>
      </c>
      <c r="AA37" s="861" t="s">
        <v>27</v>
      </c>
      <c r="AB37" s="863"/>
      <c r="AC37" s="432"/>
      <c r="AD37" s="861" t="s">
        <v>28</v>
      </c>
      <c r="AE37" s="862"/>
      <c r="AF37" s="843"/>
      <c r="AG37" s="844"/>
      <c r="AH37" s="821"/>
      <c r="AI37" s="823"/>
      <c r="AJ37" s="45"/>
      <c r="AK37" s="49"/>
      <c r="AN37" s="370"/>
      <c r="AP37" s="18">
        <f>IF(AC37="X",1,0)</f>
        <v>0</v>
      </c>
    </row>
    <row r="38" spans="1:42" ht="6.6" customHeight="1">
      <c r="A38" s="48"/>
      <c r="B38" s="45"/>
      <c r="C38" s="216"/>
      <c r="D38" s="877"/>
      <c r="E38" s="877"/>
      <c r="F38" s="877"/>
      <c r="G38" s="877"/>
      <c r="H38" s="877"/>
      <c r="I38" s="877"/>
      <c r="J38" s="877"/>
      <c r="K38" s="877"/>
      <c r="L38" s="877"/>
      <c r="M38" s="877"/>
      <c r="N38" s="877"/>
      <c r="O38" s="877"/>
      <c r="P38" s="877"/>
      <c r="Q38" s="877"/>
      <c r="R38" s="877"/>
      <c r="S38" s="877"/>
      <c r="T38" s="877"/>
      <c r="U38" s="877"/>
      <c r="V38" s="877"/>
      <c r="W38" s="877"/>
      <c r="X38" s="877"/>
      <c r="Y38" s="877"/>
      <c r="AF38" s="843"/>
      <c r="AG38" s="844"/>
      <c r="AH38" s="821"/>
      <c r="AI38" s="823"/>
      <c r="AJ38" s="45"/>
      <c r="AK38" s="49"/>
      <c r="AN38" s="18"/>
    </row>
    <row r="39" spans="1:42" ht="6" customHeight="1" thickBot="1">
      <c r="A39" s="48"/>
      <c r="B39" s="45"/>
      <c r="C39" s="224"/>
      <c r="D39" s="225"/>
      <c r="E39" s="225"/>
      <c r="F39" s="225"/>
      <c r="G39" s="225"/>
      <c r="H39" s="225"/>
      <c r="I39" s="225"/>
      <c r="J39" s="225"/>
      <c r="K39" s="225"/>
      <c r="L39" s="225"/>
      <c r="M39" s="225"/>
      <c r="N39" s="225"/>
      <c r="O39" s="225"/>
      <c r="P39" s="225"/>
      <c r="Q39" s="225"/>
      <c r="R39" s="225"/>
      <c r="S39" s="225"/>
      <c r="T39" s="225"/>
      <c r="U39" s="225"/>
      <c r="V39" s="225"/>
      <c r="W39" s="225"/>
      <c r="X39" s="225"/>
      <c r="Y39" s="225"/>
      <c r="Z39" s="225"/>
      <c r="AA39" s="225"/>
      <c r="AB39" s="225"/>
      <c r="AC39" s="225"/>
      <c r="AD39" s="225"/>
      <c r="AE39" s="226"/>
      <c r="AF39" s="929"/>
      <c r="AG39" s="930"/>
      <c r="AH39" s="931"/>
      <c r="AI39" s="932"/>
      <c r="AJ39" s="45"/>
      <c r="AK39" s="49"/>
      <c r="AN39" s="18"/>
    </row>
    <row r="40" spans="1:42" ht="12" customHeight="1" thickTop="1">
      <c r="A40" s="48"/>
      <c r="B40" s="45"/>
      <c r="C40" s="215"/>
      <c r="D40" s="215"/>
      <c r="E40" s="215"/>
      <c r="F40" s="215"/>
      <c r="G40" s="215"/>
      <c r="H40" s="215"/>
      <c r="I40" s="215"/>
      <c r="J40" s="215"/>
      <c r="K40" s="215"/>
      <c r="L40" s="215"/>
      <c r="M40" s="215"/>
      <c r="N40" s="215"/>
      <c r="O40" s="215"/>
      <c r="P40" s="215"/>
      <c r="Q40" s="215"/>
      <c r="R40" s="215"/>
      <c r="S40" s="215"/>
      <c r="T40" s="215"/>
      <c r="U40" s="215"/>
      <c r="V40" s="215"/>
      <c r="W40" s="215"/>
      <c r="X40" s="215"/>
      <c r="Y40" s="215"/>
      <c r="Z40" s="215"/>
      <c r="AA40" s="215"/>
      <c r="AB40" s="215"/>
      <c r="AC40" s="215"/>
      <c r="AD40" s="215"/>
      <c r="AE40" s="215"/>
      <c r="AF40" s="215"/>
      <c r="AG40" s="215"/>
      <c r="AH40" s="215"/>
      <c r="AI40" s="215"/>
      <c r="AJ40" s="45"/>
      <c r="AK40" s="49"/>
      <c r="AN40" s="18"/>
    </row>
    <row r="41" spans="1:42" ht="6" customHeight="1">
      <c r="A41" s="48"/>
      <c r="B41" s="176"/>
      <c r="C41" s="176"/>
      <c r="D41" s="176"/>
      <c r="E41" s="176"/>
      <c r="F41" s="176"/>
      <c r="G41" s="176"/>
      <c r="H41" s="176"/>
      <c r="I41" s="176"/>
      <c r="J41" s="176"/>
      <c r="K41" s="176"/>
      <c r="L41" s="176"/>
      <c r="M41" s="176"/>
      <c r="N41" s="176"/>
      <c r="O41" s="176"/>
      <c r="P41" s="176"/>
      <c r="Q41" s="176"/>
      <c r="R41" s="176"/>
      <c r="S41" s="176"/>
      <c r="T41" s="176"/>
      <c r="U41" s="176"/>
      <c r="V41" s="176"/>
      <c r="W41" s="176"/>
      <c r="X41" s="176"/>
      <c r="Y41" s="176"/>
      <c r="Z41" s="176"/>
      <c r="AA41" s="176"/>
      <c r="AB41" s="176"/>
      <c r="AC41" s="176"/>
      <c r="AD41" s="176"/>
      <c r="AE41" s="176"/>
      <c r="AF41" s="176"/>
      <c r="AG41" s="176"/>
      <c r="AH41" s="176"/>
      <c r="AI41" s="176"/>
      <c r="AJ41" s="176"/>
      <c r="AK41" s="49"/>
      <c r="AN41" s="18"/>
    </row>
    <row r="42" spans="1:42" ht="6" customHeight="1">
      <c r="A42" s="48"/>
      <c r="B42" s="170"/>
      <c r="C42" s="170"/>
      <c r="D42" s="170"/>
      <c r="E42" s="170"/>
      <c r="F42" s="170"/>
      <c r="G42" s="170"/>
      <c r="H42" s="170"/>
      <c r="I42" s="170"/>
      <c r="J42" s="170"/>
      <c r="K42" s="170"/>
      <c r="L42" s="170"/>
      <c r="M42" s="170"/>
      <c r="N42" s="170"/>
      <c r="O42" s="170"/>
      <c r="P42" s="170"/>
      <c r="Q42" s="170"/>
      <c r="R42" s="170"/>
      <c r="S42" s="170"/>
      <c r="T42" s="170"/>
      <c r="U42" s="170"/>
      <c r="V42" s="170"/>
      <c r="W42" s="170"/>
      <c r="X42" s="170"/>
      <c r="Y42" s="170"/>
      <c r="Z42" s="170"/>
      <c r="AA42" s="170"/>
      <c r="AB42" s="170"/>
      <c r="AC42" s="170"/>
      <c r="AD42" s="170"/>
      <c r="AE42" s="170"/>
      <c r="AF42" s="170"/>
      <c r="AG42" s="170"/>
      <c r="AH42" s="170"/>
      <c r="AI42" s="170"/>
      <c r="AJ42" s="170"/>
      <c r="AK42" s="49"/>
      <c r="AN42" s="18"/>
    </row>
    <row r="43" spans="1:42" ht="14.1" customHeight="1">
      <c r="A43" s="48"/>
      <c r="B43" s="209"/>
      <c r="C43" s="206" t="s">
        <v>159</v>
      </c>
      <c r="D43" s="170"/>
      <c r="E43" s="170"/>
      <c r="F43" s="170"/>
      <c r="G43" s="170"/>
      <c r="H43" s="170"/>
      <c r="I43" s="170"/>
      <c r="J43" s="170"/>
      <c r="K43" s="170"/>
      <c r="L43" s="170"/>
      <c r="M43" s="170"/>
      <c r="N43" s="170"/>
      <c r="O43" s="170"/>
      <c r="P43" s="170"/>
      <c r="Q43" s="170"/>
      <c r="R43" s="170"/>
      <c r="S43" s="170"/>
      <c r="T43" s="170"/>
      <c r="U43" s="170"/>
      <c r="V43" s="170"/>
      <c r="W43" s="170"/>
      <c r="X43" s="170"/>
      <c r="Y43" s="170"/>
      <c r="Z43" s="170"/>
      <c r="AA43" s="170"/>
      <c r="AB43" s="175" t="s">
        <v>37</v>
      </c>
      <c r="AC43" s="170"/>
      <c r="AD43" s="213" t="str">
        <f>IF(AP6=0,"",IF(AN43=0,"","X"))</f>
        <v/>
      </c>
      <c r="AE43" s="172" t="s">
        <v>27</v>
      </c>
      <c r="AF43" s="172"/>
      <c r="AG43" s="213" t="str">
        <f>IF(AP6=0,"",IF(AN43=0,"X",""))</f>
        <v/>
      </c>
      <c r="AH43" s="172" t="s">
        <v>28</v>
      </c>
      <c r="AI43" s="170"/>
      <c r="AJ43" s="170"/>
      <c r="AK43" s="49"/>
      <c r="AN43" s="245">
        <f>AN54*AN59</f>
        <v>0</v>
      </c>
    </row>
    <row r="44" spans="1:42" ht="6" customHeight="1">
      <c r="A44" s="48"/>
      <c r="B44" s="45"/>
      <c r="C44" s="215"/>
      <c r="D44" s="215"/>
      <c r="E44" s="215"/>
      <c r="F44" s="215"/>
      <c r="G44" s="215"/>
      <c r="H44" s="215"/>
      <c r="I44" s="215"/>
      <c r="J44" s="215"/>
      <c r="K44" s="215"/>
      <c r="L44" s="215"/>
      <c r="M44" s="215"/>
      <c r="N44" s="215"/>
      <c r="O44" s="215"/>
      <c r="P44" s="215"/>
      <c r="Q44" s="215"/>
      <c r="R44" s="215"/>
      <c r="S44" s="215"/>
      <c r="T44" s="215"/>
      <c r="U44" s="215"/>
      <c r="V44" s="215"/>
      <c r="W44" s="215"/>
      <c r="X44" s="215"/>
      <c r="Y44" s="215"/>
      <c r="Z44" s="215"/>
      <c r="AA44" s="215"/>
      <c r="AB44" s="215"/>
      <c r="AC44" s="215"/>
      <c r="AD44" s="215"/>
      <c r="AE44" s="215"/>
      <c r="AF44" s="215"/>
      <c r="AG44" s="215"/>
      <c r="AH44" s="215"/>
      <c r="AI44" s="215"/>
      <c r="AJ44" s="45"/>
      <c r="AK44" s="49"/>
      <c r="AN44" s="18"/>
    </row>
    <row r="45" spans="1:42" ht="12" customHeight="1">
      <c r="A45" s="48"/>
      <c r="B45" s="45"/>
      <c r="C45" s="840" t="s">
        <v>161</v>
      </c>
      <c r="D45" s="840"/>
      <c r="E45" s="840"/>
      <c r="F45" s="840"/>
      <c r="G45" s="840"/>
      <c r="H45" s="840"/>
      <c r="I45" s="840"/>
      <c r="J45" s="840"/>
      <c r="K45" s="840"/>
      <c r="L45" s="840"/>
      <c r="M45" s="840"/>
      <c r="N45" s="840"/>
      <c r="O45" s="840"/>
      <c r="P45" s="840"/>
      <c r="Q45" s="840"/>
      <c r="R45" s="840"/>
      <c r="S45" s="840"/>
      <c r="T45" s="840"/>
      <c r="U45" s="840"/>
      <c r="V45" s="840"/>
      <c r="W45" s="840"/>
      <c r="X45" s="840"/>
      <c r="Y45" s="840"/>
      <c r="Z45" s="840"/>
      <c r="AA45" s="840"/>
      <c r="AB45" s="840"/>
      <c r="AC45" s="840"/>
      <c r="AD45" s="840"/>
      <c r="AE45" s="840"/>
      <c r="AF45" s="840"/>
      <c r="AG45" s="840"/>
      <c r="AH45" s="840"/>
      <c r="AI45" s="840"/>
      <c r="AJ45" s="45"/>
      <c r="AK45" s="49"/>
      <c r="AN45" s="18"/>
    </row>
    <row r="46" spans="1:42" ht="12" customHeight="1">
      <c r="A46" s="48"/>
      <c r="B46" s="45"/>
      <c r="C46" s="840"/>
      <c r="D46" s="840"/>
      <c r="E46" s="840"/>
      <c r="F46" s="840"/>
      <c r="G46" s="840"/>
      <c r="H46" s="840"/>
      <c r="I46" s="840"/>
      <c r="J46" s="840"/>
      <c r="K46" s="840"/>
      <c r="L46" s="840"/>
      <c r="M46" s="840"/>
      <c r="N46" s="840"/>
      <c r="O46" s="840"/>
      <c r="P46" s="840"/>
      <c r="Q46" s="840"/>
      <c r="R46" s="840"/>
      <c r="S46" s="840"/>
      <c r="T46" s="840"/>
      <c r="U46" s="840"/>
      <c r="V46" s="840"/>
      <c r="W46" s="840"/>
      <c r="X46" s="840"/>
      <c r="Y46" s="840"/>
      <c r="Z46" s="840"/>
      <c r="AA46" s="840"/>
      <c r="AB46" s="840"/>
      <c r="AC46" s="840"/>
      <c r="AD46" s="840"/>
      <c r="AE46" s="840"/>
      <c r="AF46" s="840"/>
      <c r="AG46" s="840"/>
      <c r="AH46" s="840"/>
      <c r="AI46" s="840"/>
      <c r="AJ46" s="45"/>
      <c r="AK46" s="49"/>
      <c r="AN46" s="18"/>
    </row>
    <row r="47" spans="1:42" ht="12" customHeight="1">
      <c r="A47" s="48"/>
      <c r="B47" s="45"/>
      <c r="C47" s="840"/>
      <c r="D47" s="840"/>
      <c r="E47" s="840"/>
      <c r="F47" s="840"/>
      <c r="G47" s="840"/>
      <c r="H47" s="840"/>
      <c r="I47" s="840"/>
      <c r="J47" s="840"/>
      <c r="K47" s="840"/>
      <c r="L47" s="840"/>
      <c r="M47" s="840"/>
      <c r="N47" s="840"/>
      <c r="O47" s="840"/>
      <c r="P47" s="840"/>
      <c r="Q47" s="840"/>
      <c r="R47" s="840"/>
      <c r="S47" s="840"/>
      <c r="T47" s="840"/>
      <c r="U47" s="840"/>
      <c r="V47" s="840"/>
      <c r="W47" s="840"/>
      <c r="X47" s="840"/>
      <c r="Y47" s="840"/>
      <c r="Z47" s="840"/>
      <c r="AA47" s="840"/>
      <c r="AB47" s="840"/>
      <c r="AC47" s="840"/>
      <c r="AD47" s="840"/>
      <c r="AE47" s="840"/>
      <c r="AF47" s="840"/>
      <c r="AG47" s="840"/>
      <c r="AH47" s="840"/>
      <c r="AI47" s="840"/>
      <c r="AJ47" s="45"/>
      <c r="AK47" s="49"/>
      <c r="AN47" s="18"/>
    </row>
    <row r="48" spans="1:42" ht="12" customHeight="1">
      <c r="A48" s="48"/>
      <c r="B48" s="45"/>
      <c r="C48" s="840"/>
      <c r="D48" s="840"/>
      <c r="E48" s="840"/>
      <c r="F48" s="840"/>
      <c r="G48" s="840"/>
      <c r="H48" s="840"/>
      <c r="I48" s="840"/>
      <c r="J48" s="840"/>
      <c r="K48" s="840"/>
      <c r="L48" s="840"/>
      <c r="M48" s="840"/>
      <c r="N48" s="840"/>
      <c r="O48" s="840"/>
      <c r="P48" s="840"/>
      <c r="Q48" s="840"/>
      <c r="R48" s="840"/>
      <c r="S48" s="840"/>
      <c r="T48" s="840"/>
      <c r="U48" s="840"/>
      <c r="V48" s="840"/>
      <c r="W48" s="840"/>
      <c r="X48" s="840"/>
      <c r="Y48" s="840"/>
      <c r="Z48" s="840"/>
      <c r="AA48" s="840"/>
      <c r="AB48" s="840"/>
      <c r="AC48" s="840"/>
      <c r="AD48" s="840"/>
      <c r="AE48" s="840"/>
      <c r="AF48" s="840"/>
      <c r="AG48" s="840"/>
      <c r="AH48" s="840"/>
      <c r="AI48" s="840"/>
      <c r="AJ48" s="45"/>
      <c r="AK48" s="49"/>
      <c r="AN48" s="18"/>
    </row>
    <row r="49" spans="1:43" ht="12" customHeight="1" thickBot="1">
      <c r="A49" s="48"/>
      <c r="B49" s="45"/>
      <c r="C49" s="215"/>
      <c r="D49" s="215"/>
      <c r="E49" s="215"/>
      <c r="F49" s="215"/>
      <c r="G49" s="215"/>
      <c r="H49" s="215"/>
      <c r="I49" s="215"/>
      <c r="J49" s="215"/>
      <c r="K49" s="215"/>
      <c r="L49" s="215"/>
      <c r="M49" s="215"/>
      <c r="N49" s="215"/>
      <c r="O49" s="215"/>
      <c r="P49" s="215"/>
      <c r="Q49" s="215"/>
      <c r="R49" s="215"/>
      <c r="S49" s="215"/>
      <c r="T49" s="215"/>
      <c r="U49" s="215"/>
      <c r="V49" s="215"/>
      <c r="W49" s="215"/>
      <c r="X49" s="215"/>
      <c r="Y49" s="215"/>
      <c r="Z49" s="215"/>
      <c r="AA49" s="215"/>
      <c r="AB49" s="215"/>
      <c r="AC49" s="215"/>
      <c r="AD49" s="215"/>
      <c r="AE49" s="215"/>
      <c r="AF49" s="215"/>
      <c r="AG49" s="215"/>
      <c r="AH49" s="215"/>
      <c r="AI49" s="215"/>
      <c r="AJ49" s="45"/>
      <c r="AK49" s="49"/>
      <c r="AN49" s="18"/>
    </row>
    <row r="50" spans="1:43" ht="15" customHeight="1" thickTop="1">
      <c r="A50" s="48"/>
      <c r="B50" s="45"/>
      <c r="C50" s="889" t="s">
        <v>162</v>
      </c>
      <c r="D50" s="819"/>
      <c r="E50" s="819"/>
      <c r="F50" s="819"/>
      <c r="G50" s="819"/>
      <c r="H50" s="819"/>
      <c r="I50" s="819"/>
      <c r="J50" s="819"/>
      <c r="K50" s="819"/>
      <c r="L50" s="819"/>
      <c r="M50" s="819"/>
      <c r="N50" s="819"/>
      <c r="O50" s="819"/>
      <c r="P50" s="819"/>
      <c r="Q50" s="819"/>
      <c r="R50" s="819"/>
      <c r="S50" s="819"/>
      <c r="T50" s="819"/>
      <c r="U50" s="819"/>
      <c r="V50" s="819"/>
      <c r="W50" s="819"/>
      <c r="X50" s="819"/>
      <c r="Y50" s="819"/>
      <c r="Z50" s="819"/>
      <c r="AA50" s="819"/>
      <c r="AB50" s="819"/>
      <c r="AC50" s="819"/>
      <c r="AD50" s="819"/>
      <c r="AE50" s="890"/>
      <c r="AF50" s="893" t="s">
        <v>145</v>
      </c>
      <c r="AG50" s="894"/>
      <c r="AH50" s="894"/>
      <c r="AI50" s="895"/>
      <c r="AJ50" s="45"/>
      <c r="AK50" s="49"/>
      <c r="AN50" s="18"/>
    </row>
    <row r="51" spans="1:43" ht="15" customHeight="1" thickBot="1">
      <c r="A51" s="48"/>
      <c r="B51" s="45"/>
      <c r="C51" s="891"/>
      <c r="D51" s="825"/>
      <c r="E51" s="825"/>
      <c r="F51" s="825"/>
      <c r="G51" s="825"/>
      <c r="H51" s="825"/>
      <c r="I51" s="825"/>
      <c r="J51" s="825"/>
      <c r="K51" s="825"/>
      <c r="L51" s="825"/>
      <c r="M51" s="825"/>
      <c r="N51" s="825"/>
      <c r="O51" s="825"/>
      <c r="P51" s="825"/>
      <c r="Q51" s="825"/>
      <c r="R51" s="825"/>
      <c r="S51" s="825"/>
      <c r="T51" s="825"/>
      <c r="U51" s="825"/>
      <c r="V51" s="825"/>
      <c r="W51" s="825"/>
      <c r="X51" s="825"/>
      <c r="Y51" s="825"/>
      <c r="Z51" s="825"/>
      <c r="AA51" s="825"/>
      <c r="AB51" s="825"/>
      <c r="AC51" s="825"/>
      <c r="AD51" s="825"/>
      <c r="AE51" s="892"/>
      <c r="AF51" s="896" t="s">
        <v>27</v>
      </c>
      <c r="AG51" s="897"/>
      <c r="AH51" s="897" t="s">
        <v>28</v>
      </c>
      <c r="AI51" s="898"/>
      <c r="AJ51" s="45"/>
      <c r="AK51" s="49"/>
      <c r="AN51" s="18"/>
    </row>
    <row r="52" spans="1:43" ht="6" customHeight="1">
      <c r="A52" s="48"/>
      <c r="B52" s="45"/>
      <c r="C52" s="221"/>
      <c r="D52" s="217"/>
      <c r="E52" s="217"/>
      <c r="F52" s="217"/>
      <c r="G52" s="217"/>
      <c r="H52" s="217"/>
      <c r="I52" s="217"/>
      <c r="J52" s="217"/>
      <c r="K52" s="217"/>
      <c r="L52" s="217"/>
      <c r="M52" s="217"/>
      <c r="N52" s="217"/>
      <c r="O52" s="217"/>
      <c r="P52" s="217"/>
      <c r="Q52" s="217"/>
      <c r="R52" s="217"/>
      <c r="S52" s="217"/>
      <c r="T52" s="217"/>
      <c r="U52" s="217"/>
      <c r="V52" s="217"/>
      <c r="W52" s="217"/>
      <c r="X52" s="217"/>
      <c r="Y52" s="217"/>
      <c r="Z52" s="217"/>
      <c r="AA52" s="217"/>
      <c r="AB52" s="217"/>
      <c r="AC52" s="217"/>
      <c r="AD52" s="217"/>
      <c r="AE52" s="217"/>
      <c r="AF52" s="828"/>
      <c r="AG52" s="829"/>
      <c r="AH52" s="834" t="str">
        <f>IF(AP6=0,"",IF(AF52="X","","X"))</f>
        <v/>
      </c>
      <c r="AI52" s="835"/>
      <c r="AJ52" s="45"/>
      <c r="AK52" s="49"/>
      <c r="AN52" s="18"/>
    </row>
    <row r="53" spans="1:43" ht="6" customHeight="1">
      <c r="A53" s="48"/>
      <c r="B53" s="45"/>
      <c r="C53" s="859" t="s">
        <v>156</v>
      </c>
      <c r="D53" s="866" t="s">
        <v>302</v>
      </c>
      <c r="E53" s="866"/>
      <c r="F53" s="866"/>
      <c r="G53" s="866"/>
      <c r="H53" s="866"/>
      <c r="I53" s="866"/>
      <c r="J53" s="866"/>
      <c r="K53" s="866"/>
      <c r="L53" s="866"/>
      <c r="M53" s="866"/>
      <c r="N53" s="866"/>
      <c r="O53" s="866"/>
      <c r="P53" s="866"/>
      <c r="Q53" s="866"/>
      <c r="R53" s="866"/>
      <c r="S53" s="866"/>
      <c r="T53" s="866"/>
      <c r="U53" s="866"/>
      <c r="V53" s="866"/>
      <c r="W53" s="866"/>
      <c r="X53" s="866"/>
      <c r="Y53" s="866"/>
      <c r="Z53" s="866"/>
      <c r="AA53" s="866"/>
      <c r="AB53" s="866"/>
      <c r="AC53" s="866"/>
      <c r="AD53" s="866"/>
      <c r="AE53" s="902"/>
      <c r="AF53" s="830"/>
      <c r="AG53" s="831"/>
      <c r="AH53" s="836"/>
      <c r="AI53" s="837"/>
      <c r="AJ53" s="45"/>
      <c r="AK53" s="49"/>
      <c r="AN53" s="18"/>
    </row>
    <row r="54" spans="1:43" ht="12" customHeight="1">
      <c r="A54" s="48"/>
      <c r="B54" s="45"/>
      <c r="C54" s="859"/>
      <c r="D54" s="866"/>
      <c r="E54" s="866"/>
      <c r="F54" s="866"/>
      <c r="G54" s="866"/>
      <c r="H54" s="866"/>
      <c r="I54" s="866"/>
      <c r="J54" s="866"/>
      <c r="K54" s="866"/>
      <c r="L54" s="866"/>
      <c r="M54" s="866"/>
      <c r="N54" s="866"/>
      <c r="O54" s="866"/>
      <c r="P54" s="866"/>
      <c r="Q54" s="866"/>
      <c r="R54" s="866"/>
      <c r="S54" s="866"/>
      <c r="T54" s="866"/>
      <c r="U54" s="866"/>
      <c r="V54" s="866"/>
      <c r="W54" s="866"/>
      <c r="X54" s="866"/>
      <c r="Y54" s="866"/>
      <c r="Z54" s="866"/>
      <c r="AA54" s="866"/>
      <c r="AB54" s="866"/>
      <c r="AC54" s="866"/>
      <c r="AD54" s="866"/>
      <c r="AE54" s="902"/>
      <c r="AF54" s="830"/>
      <c r="AG54" s="831"/>
      <c r="AH54" s="836"/>
      <c r="AI54" s="837"/>
      <c r="AJ54" s="45"/>
      <c r="AK54" s="49"/>
      <c r="AN54" s="245">
        <f>IF(AF52="X",1,0)</f>
        <v>0</v>
      </c>
    </row>
    <row r="55" spans="1:43" ht="6" customHeight="1">
      <c r="A55" s="48"/>
      <c r="B55" s="45"/>
      <c r="C55" s="859"/>
      <c r="D55" s="866"/>
      <c r="E55" s="866"/>
      <c r="F55" s="866"/>
      <c r="G55" s="866"/>
      <c r="H55" s="866"/>
      <c r="I55" s="866"/>
      <c r="J55" s="866"/>
      <c r="K55" s="866"/>
      <c r="L55" s="866"/>
      <c r="M55" s="866"/>
      <c r="N55" s="866"/>
      <c r="O55" s="866"/>
      <c r="P55" s="866"/>
      <c r="Q55" s="866"/>
      <c r="R55" s="866"/>
      <c r="S55" s="866"/>
      <c r="T55" s="866"/>
      <c r="U55" s="866"/>
      <c r="V55" s="866"/>
      <c r="W55" s="866"/>
      <c r="X55" s="866"/>
      <c r="Y55" s="866"/>
      <c r="Z55" s="866"/>
      <c r="AA55" s="866"/>
      <c r="AB55" s="866"/>
      <c r="AC55" s="866"/>
      <c r="AD55" s="866"/>
      <c r="AE55" s="902"/>
      <c r="AF55" s="830"/>
      <c r="AG55" s="831"/>
      <c r="AH55" s="836"/>
      <c r="AI55" s="837"/>
      <c r="AJ55" s="45"/>
      <c r="AK55" s="49"/>
      <c r="AN55" s="18"/>
    </row>
    <row r="56" spans="1:43" ht="6" customHeight="1" thickBot="1">
      <c r="A56" s="48"/>
      <c r="B56" s="45"/>
      <c r="C56" s="218"/>
      <c r="D56" s="219"/>
      <c r="E56" s="219"/>
      <c r="F56" s="219"/>
      <c r="G56" s="219"/>
      <c r="H56" s="219"/>
      <c r="I56" s="219"/>
      <c r="J56" s="219"/>
      <c r="K56" s="219"/>
      <c r="L56" s="219"/>
      <c r="M56" s="219"/>
      <c r="N56" s="219"/>
      <c r="O56" s="219"/>
      <c r="P56" s="219"/>
      <c r="Q56" s="219"/>
      <c r="R56" s="219"/>
      <c r="S56" s="219"/>
      <c r="T56" s="219"/>
      <c r="U56" s="219"/>
      <c r="V56" s="219"/>
      <c r="W56" s="219"/>
      <c r="X56" s="219"/>
      <c r="Y56" s="219"/>
      <c r="Z56" s="219"/>
      <c r="AA56" s="219"/>
      <c r="AB56" s="219"/>
      <c r="AC56" s="219"/>
      <c r="AD56" s="219"/>
      <c r="AE56" s="219"/>
      <c r="AF56" s="832"/>
      <c r="AG56" s="833"/>
      <c r="AH56" s="838"/>
      <c r="AI56" s="839"/>
      <c r="AJ56" s="45"/>
      <c r="AK56" s="49"/>
      <c r="AN56" s="18"/>
    </row>
    <row r="57" spans="1:43" ht="12" customHeight="1">
      <c r="A57" s="48"/>
      <c r="B57" s="45"/>
      <c r="C57" s="899" t="s">
        <v>157</v>
      </c>
      <c r="D57" s="422" t="s">
        <v>177</v>
      </c>
      <c r="E57" s="939" t="s">
        <v>243</v>
      </c>
      <c r="F57" s="939"/>
      <c r="G57" s="939"/>
      <c r="H57" s="939"/>
      <c r="I57" s="939"/>
      <c r="J57" s="939"/>
      <c r="K57" s="939"/>
      <c r="L57" s="939"/>
      <c r="M57" s="939"/>
      <c r="N57" s="939"/>
      <c r="O57" s="939"/>
      <c r="P57" s="939"/>
      <c r="Q57" s="939"/>
      <c r="R57" s="939"/>
      <c r="S57" s="939"/>
      <c r="T57" s="939"/>
      <c r="U57" s="939"/>
      <c r="V57" s="939"/>
      <c r="W57" s="939"/>
      <c r="X57" s="939"/>
      <c r="Y57" s="939"/>
      <c r="Z57" s="939"/>
      <c r="AA57" s="939"/>
      <c r="AB57" s="939"/>
      <c r="AC57" s="939"/>
      <c r="AD57" s="939"/>
      <c r="AE57" s="940"/>
      <c r="AF57" s="881"/>
      <c r="AG57" s="882"/>
      <c r="AH57" s="885" t="str">
        <f>IF(AP6=0,"",IF(AF57="X","","X"))</f>
        <v/>
      </c>
      <c r="AI57" s="886"/>
      <c r="AJ57" s="45"/>
      <c r="AK57" s="49"/>
      <c r="AN57" s="18"/>
    </row>
    <row r="58" spans="1:43" ht="12" customHeight="1">
      <c r="A58" s="48"/>
      <c r="B58" s="45"/>
      <c r="C58" s="900"/>
      <c r="D58" s="419"/>
      <c r="E58" s="935"/>
      <c r="F58" s="935"/>
      <c r="G58" s="935"/>
      <c r="H58" s="935"/>
      <c r="I58" s="935"/>
      <c r="J58" s="935"/>
      <c r="K58" s="935"/>
      <c r="L58" s="935"/>
      <c r="M58" s="935"/>
      <c r="N58" s="935"/>
      <c r="O58" s="935"/>
      <c r="P58" s="935"/>
      <c r="Q58" s="935"/>
      <c r="R58" s="935"/>
      <c r="S58" s="935"/>
      <c r="T58" s="935"/>
      <c r="U58" s="935"/>
      <c r="V58" s="935"/>
      <c r="W58" s="935"/>
      <c r="X58" s="935"/>
      <c r="Y58" s="935"/>
      <c r="Z58" s="935"/>
      <c r="AA58" s="935"/>
      <c r="AB58" s="935"/>
      <c r="AC58" s="935"/>
      <c r="AD58" s="935"/>
      <c r="AE58" s="936"/>
      <c r="AF58" s="883"/>
      <c r="AG58" s="884"/>
      <c r="AH58" s="887"/>
      <c r="AI58" s="888"/>
      <c r="AJ58" s="45"/>
      <c r="AK58" s="49"/>
      <c r="AN58" s="18"/>
      <c r="AP58" s="18">
        <f>IF(AF57="X",1,0)</f>
        <v>0</v>
      </c>
      <c r="AQ58" s="18"/>
    </row>
    <row r="59" spans="1:43" ht="12" customHeight="1">
      <c r="A59" s="48"/>
      <c r="B59" s="45"/>
      <c r="C59" s="900"/>
      <c r="D59" s="420"/>
      <c r="E59" s="941"/>
      <c r="F59" s="941"/>
      <c r="G59" s="941"/>
      <c r="H59" s="941"/>
      <c r="I59" s="941"/>
      <c r="J59" s="941"/>
      <c r="K59" s="941"/>
      <c r="L59" s="941"/>
      <c r="M59" s="941"/>
      <c r="N59" s="941"/>
      <c r="O59" s="941"/>
      <c r="P59" s="941"/>
      <c r="Q59" s="941"/>
      <c r="R59" s="941"/>
      <c r="S59" s="941"/>
      <c r="T59" s="941"/>
      <c r="U59" s="941"/>
      <c r="V59" s="941"/>
      <c r="W59" s="941"/>
      <c r="X59" s="941"/>
      <c r="Y59" s="941"/>
      <c r="Z59" s="941"/>
      <c r="AA59" s="941"/>
      <c r="AB59" s="941"/>
      <c r="AC59" s="941"/>
      <c r="AD59" s="941"/>
      <c r="AE59" s="942"/>
      <c r="AF59" s="883"/>
      <c r="AG59" s="884"/>
      <c r="AH59" s="887"/>
      <c r="AI59" s="888"/>
      <c r="AJ59" s="45"/>
      <c r="AK59" s="49"/>
      <c r="AN59" s="490">
        <f>IF(AP58=1,1,IF(AP61=1,1,0))</f>
        <v>0</v>
      </c>
      <c r="AP59" s="18"/>
      <c r="AQ59" s="18"/>
    </row>
    <row r="60" spans="1:43" ht="12" customHeight="1">
      <c r="A60" s="48"/>
      <c r="B60" s="45"/>
      <c r="C60" s="900"/>
      <c r="D60" s="423" t="s">
        <v>178</v>
      </c>
      <c r="E60" s="933" t="s">
        <v>244</v>
      </c>
      <c r="F60" s="933"/>
      <c r="G60" s="933"/>
      <c r="H60" s="933"/>
      <c r="I60" s="933"/>
      <c r="J60" s="933"/>
      <c r="K60" s="933"/>
      <c r="L60" s="933"/>
      <c r="M60" s="933"/>
      <c r="N60" s="933"/>
      <c r="O60" s="933"/>
      <c r="P60" s="933"/>
      <c r="Q60" s="933"/>
      <c r="R60" s="933"/>
      <c r="S60" s="933"/>
      <c r="T60" s="933"/>
      <c r="U60" s="933"/>
      <c r="V60" s="933"/>
      <c r="W60" s="933"/>
      <c r="X60" s="933"/>
      <c r="Y60" s="933"/>
      <c r="Z60" s="933"/>
      <c r="AA60" s="933"/>
      <c r="AB60" s="933"/>
      <c r="AC60" s="933"/>
      <c r="AD60" s="933"/>
      <c r="AE60" s="934"/>
      <c r="AF60" s="883"/>
      <c r="AG60" s="884"/>
      <c r="AH60" s="887" t="str">
        <f>IF(AP6=0,"",IF(AF60="X","","X"))</f>
        <v/>
      </c>
      <c r="AI60" s="888"/>
      <c r="AJ60" s="45"/>
      <c r="AK60" s="49"/>
      <c r="AN60" s="490"/>
      <c r="AP60" s="18"/>
      <c r="AQ60" s="18"/>
    </row>
    <row r="61" spans="1:43" ht="12" customHeight="1">
      <c r="A61" s="48"/>
      <c r="B61" s="45"/>
      <c r="C61" s="900"/>
      <c r="D61" s="419"/>
      <c r="E61" s="935"/>
      <c r="F61" s="935"/>
      <c r="G61" s="935"/>
      <c r="H61" s="935"/>
      <c r="I61" s="935"/>
      <c r="J61" s="935"/>
      <c r="K61" s="935"/>
      <c r="L61" s="935"/>
      <c r="M61" s="935"/>
      <c r="N61" s="935"/>
      <c r="O61" s="935"/>
      <c r="P61" s="935"/>
      <c r="Q61" s="935"/>
      <c r="R61" s="935"/>
      <c r="S61" s="935"/>
      <c r="T61" s="935"/>
      <c r="U61" s="935"/>
      <c r="V61" s="935"/>
      <c r="W61" s="935"/>
      <c r="X61" s="935"/>
      <c r="Y61" s="935"/>
      <c r="Z61" s="935"/>
      <c r="AA61" s="935"/>
      <c r="AB61" s="935"/>
      <c r="AC61" s="935"/>
      <c r="AD61" s="935"/>
      <c r="AE61" s="936"/>
      <c r="AF61" s="883"/>
      <c r="AG61" s="884"/>
      <c r="AH61" s="887"/>
      <c r="AI61" s="888"/>
      <c r="AJ61" s="45"/>
      <c r="AK61" s="49"/>
      <c r="AN61" s="18"/>
      <c r="AP61" s="18">
        <f>IF(AF60="X",1,0)</f>
        <v>0</v>
      </c>
      <c r="AQ61" s="18"/>
    </row>
    <row r="62" spans="1:43" ht="12" customHeight="1" thickBot="1">
      <c r="A62" s="48"/>
      <c r="B62" s="45"/>
      <c r="C62" s="901"/>
      <c r="D62" s="421"/>
      <c r="E62" s="937"/>
      <c r="F62" s="937"/>
      <c r="G62" s="937"/>
      <c r="H62" s="937"/>
      <c r="I62" s="937"/>
      <c r="J62" s="937"/>
      <c r="K62" s="937"/>
      <c r="L62" s="937"/>
      <c r="M62" s="937"/>
      <c r="N62" s="937"/>
      <c r="O62" s="937"/>
      <c r="P62" s="937"/>
      <c r="Q62" s="937"/>
      <c r="R62" s="937"/>
      <c r="S62" s="937"/>
      <c r="T62" s="937"/>
      <c r="U62" s="937"/>
      <c r="V62" s="937"/>
      <c r="W62" s="937"/>
      <c r="X62" s="937"/>
      <c r="Y62" s="937"/>
      <c r="Z62" s="937"/>
      <c r="AA62" s="937"/>
      <c r="AB62" s="937"/>
      <c r="AC62" s="937"/>
      <c r="AD62" s="937"/>
      <c r="AE62" s="938"/>
      <c r="AF62" s="903"/>
      <c r="AG62" s="904"/>
      <c r="AH62" s="905"/>
      <c r="AI62" s="906"/>
      <c r="AJ62" s="45"/>
      <c r="AK62" s="49"/>
    </row>
    <row r="63" spans="1:43" ht="12" customHeight="1" thickTop="1">
      <c r="A63" s="48"/>
      <c r="B63" s="45"/>
      <c r="C63" s="45"/>
      <c r="D63" s="45"/>
      <c r="E63" s="45"/>
      <c r="F63" s="45"/>
      <c r="G63" s="45"/>
      <c r="H63" s="45"/>
      <c r="I63" s="45"/>
      <c r="J63" s="45"/>
      <c r="K63" s="45"/>
      <c r="L63" s="45"/>
      <c r="M63" s="45"/>
      <c r="N63" s="45"/>
      <c r="O63" s="45"/>
      <c r="P63" s="45"/>
      <c r="Q63" s="45"/>
      <c r="R63" s="45"/>
      <c r="S63" s="45"/>
      <c r="T63" s="45"/>
      <c r="U63" s="45"/>
      <c r="V63" s="45"/>
      <c r="W63" s="45"/>
      <c r="X63" s="45"/>
      <c r="Y63" s="45"/>
      <c r="Z63" s="45"/>
      <c r="AA63" s="45"/>
      <c r="AB63" s="45"/>
      <c r="AC63" s="45"/>
      <c r="AD63" s="45"/>
      <c r="AE63" s="45"/>
      <c r="AF63" s="45"/>
      <c r="AG63" s="45"/>
      <c r="AH63" s="45"/>
      <c r="AI63" s="45"/>
      <c r="AJ63" s="45"/>
      <c r="AK63" s="49"/>
    </row>
    <row r="64" spans="1:43" ht="12" customHeight="1">
      <c r="A64" s="48"/>
      <c r="B64" s="45"/>
      <c r="C64" s="45"/>
      <c r="D64" s="45"/>
      <c r="E64" s="45"/>
      <c r="F64" s="45"/>
      <c r="G64" s="45"/>
      <c r="H64" s="45"/>
      <c r="I64" s="45"/>
      <c r="J64" s="45"/>
      <c r="K64" s="45"/>
      <c r="L64" s="45"/>
      <c r="M64" s="45"/>
      <c r="N64" s="45"/>
      <c r="O64" s="45"/>
      <c r="P64" s="45"/>
      <c r="Q64" s="45"/>
      <c r="R64" s="45"/>
      <c r="S64" s="45"/>
      <c r="T64" s="45"/>
      <c r="U64" s="45"/>
      <c r="V64" s="45"/>
      <c r="W64" s="45"/>
      <c r="X64" s="45"/>
      <c r="Y64" s="45"/>
      <c r="Z64" s="45"/>
      <c r="AA64" s="45"/>
      <c r="AB64" s="45"/>
      <c r="AC64" s="45"/>
      <c r="AD64" s="45"/>
      <c r="AE64" s="45"/>
      <c r="AF64" s="45"/>
      <c r="AG64" s="45"/>
      <c r="AH64" s="45"/>
      <c r="AI64" s="45"/>
      <c r="AJ64" s="45"/>
      <c r="AK64" s="49"/>
    </row>
    <row r="65" spans="1:37" ht="12" customHeight="1">
      <c r="A65" s="48"/>
      <c r="B65" s="45"/>
      <c r="C65" s="45"/>
      <c r="D65" s="45"/>
      <c r="E65" s="45"/>
      <c r="F65" s="45"/>
      <c r="G65" s="45"/>
      <c r="H65" s="45"/>
      <c r="I65" s="45"/>
      <c r="J65" s="45"/>
      <c r="K65" s="45"/>
      <c r="L65" s="45"/>
      <c r="M65" s="45"/>
      <c r="N65" s="45"/>
      <c r="O65" s="45"/>
      <c r="P65" s="45"/>
      <c r="Q65" s="45"/>
      <c r="R65" s="45"/>
      <c r="S65" s="45"/>
      <c r="T65" s="45"/>
      <c r="U65" s="45"/>
      <c r="V65" s="45"/>
      <c r="W65" s="45"/>
      <c r="X65" s="45"/>
      <c r="Y65" s="45"/>
      <c r="Z65" s="45"/>
      <c r="AA65" s="45"/>
      <c r="AB65" s="45"/>
      <c r="AC65" s="45"/>
      <c r="AD65" s="45"/>
      <c r="AE65" s="45"/>
      <c r="AF65" s="45"/>
      <c r="AG65" s="45"/>
      <c r="AH65" s="45"/>
      <c r="AI65" s="45"/>
      <c r="AJ65" s="45"/>
      <c r="AK65" s="49"/>
    </row>
    <row r="66" spans="1:37" ht="12" customHeight="1">
      <c r="A66" s="48"/>
      <c r="B66" s="45"/>
      <c r="C66" s="45"/>
      <c r="D66" s="45"/>
      <c r="E66" s="45"/>
      <c r="F66" s="45"/>
      <c r="G66" s="45"/>
      <c r="H66" s="45"/>
      <c r="I66" s="45"/>
      <c r="J66" s="45"/>
      <c r="K66" s="45"/>
      <c r="L66" s="45"/>
      <c r="M66" s="45"/>
      <c r="N66" s="45"/>
      <c r="O66" s="45"/>
      <c r="P66" s="45"/>
      <c r="Q66" s="45"/>
      <c r="R66" s="45"/>
      <c r="S66" s="45"/>
      <c r="T66" s="45"/>
      <c r="U66" s="45"/>
      <c r="V66" s="45"/>
      <c r="W66" s="45"/>
      <c r="X66" s="45"/>
      <c r="Y66" s="45"/>
      <c r="Z66" s="45"/>
      <c r="AA66" s="45"/>
      <c r="AB66" s="45"/>
      <c r="AC66" s="45"/>
      <c r="AD66" s="45"/>
      <c r="AE66" s="45"/>
      <c r="AF66" s="45"/>
      <c r="AG66" s="45"/>
      <c r="AH66" s="45"/>
      <c r="AI66" s="45"/>
      <c r="AJ66" s="45"/>
      <c r="AK66" s="49"/>
    </row>
    <row r="67" spans="1:37" ht="12" customHeight="1">
      <c r="A67" s="48"/>
      <c r="B67" s="45"/>
      <c r="C67" s="45"/>
      <c r="D67" s="45"/>
      <c r="E67" s="45"/>
      <c r="F67" s="45"/>
      <c r="G67" s="45"/>
      <c r="H67" s="45"/>
      <c r="I67" s="45"/>
      <c r="J67" s="45"/>
      <c r="K67" s="45"/>
      <c r="L67" s="45"/>
      <c r="M67" s="45"/>
      <c r="N67" s="45"/>
      <c r="O67" s="45"/>
      <c r="P67" s="45"/>
      <c r="Q67" s="45"/>
      <c r="R67" s="45"/>
      <c r="S67" s="45"/>
      <c r="T67" s="45"/>
      <c r="U67" s="45"/>
      <c r="V67" s="45"/>
      <c r="W67" s="45"/>
      <c r="X67" s="45"/>
      <c r="Y67" s="45"/>
      <c r="Z67" s="45"/>
      <c r="AA67" s="45"/>
      <c r="AB67" s="45"/>
      <c r="AC67" s="45"/>
      <c r="AD67" s="45"/>
      <c r="AE67" s="45"/>
      <c r="AF67" s="45"/>
      <c r="AG67" s="45"/>
      <c r="AH67" s="45"/>
      <c r="AI67" s="45"/>
      <c r="AJ67" s="45"/>
      <c r="AK67" s="49"/>
    </row>
    <row r="68" spans="1:37" ht="6" customHeight="1">
      <c r="A68" s="50"/>
      <c r="B68" s="51"/>
      <c r="C68" s="51"/>
      <c r="D68" s="51"/>
      <c r="E68" s="51"/>
      <c r="F68" s="51"/>
      <c r="G68" s="51"/>
      <c r="H68" s="51"/>
      <c r="I68" s="51"/>
      <c r="J68" s="51"/>
      <c r="K68" s="51"/>
      <c r="L68" s="51"/>
      <c r="M68" s="51"/>
      <c r="N68" s="51"/>
      <c r="O68" s="51"/>
      <c r="P68" s="51"/>
      <c r="Q68" s="51"/>
      <c r="R68" s="51"/>
      <c r="S68" s="51"/>
      <c r="T68" s="51"/>
      <c r="U68" s="51"/>
      <c r="V68" s="51"/>
      <c r="W68" s="51"/>
      <c r="X68" s="51"/>
      <c r="Y68" s="51"/>
      <c r="Z68" s="51"/>
      <c r="AA68" s="51"/>
      <c r="AB68" s="51"/>
      <c r="AC68" s="51"/>
      <c r="AD68" s="51"/>
      <c r="AE68" s="51"/>
      <c r="AF68" s="51"/>
      <c r="AG68" s="51"/>
      <c r="AH68" s="51"/>
      <c r="AI68" s="51"/>
      <c r="AJ68" s="51"/>
      <c r="AK68" s="52"/>
    </row>
  </sheetData>
  <sheetProtection sheet="1" objects="1" scenarios="1" selectLockedCells="1"/>
  <mergeCells count="58">
    <mergeCell ref="C8:AI11"/>
    <mergeCell ref="B2:AJ3"/>
    <mergeCell ref="C13:AI14"/>
    <mergeCell ref="AF21:AI21"/>
    <mergeCell ref="AF22:AG22"/>
    <mergeCell ref="AH22:AI22"/>
    <mergeCell ref="C21:AE22"/>
    <mergeCell ref="C15:AI19"/>
    <mergeCell ref="AN59:AN60"/>
    <mergeCell ref="AT23:AW23"/>
    <mergeCell ref="AF60:AG62"/>
    <mergeCell ref="AH60:AI62"/>
    <mergeCell ref="W23:Y24"/>
    <mergeCell ref="Z23:AE24"/>
    <mergeCell ref="W25:Y26"/>
    <mergeCell ref="Z25:AA26"/>
    <mergeCell ref="AD25:AE26"/>
    <mergeCell ref="AB25:AC26"/>
    <mergeCell ref="AF31:AG39"/>
    <mergeCell ref="AH31:AI39"/>
    <mergeCell ref="E60:AE62"/>
    <mergeCell ref="E57:AE59"/>
    <mergeCell ref="AC30:AE30"/>
    <mergeCell ref="X29:Y29"/>
    <mergeCell ref="D36:Y38"/>
    <mergeCell ref="X30:Y30"/>
    <mergeCell ref="Z29:AB29"/>
    <mergeCell ref="AF57:AG59"/>
    <mergeCell ref="AH57:AI59"/>
    <mergeCell ref="C50:AE51"/>
    <mergeCell ref="AF50:AI50"/>
    <mergeCell ref="AF51:AG51"/>
    <mergeCell ref="AH51:AI51"/>
    <mergeCell ref="C57:C62"/>
    <mergeCell ref="D53:AE55"/>
    <mergeCell ref="C32:C34"/>
    <mergeCell ref="AF23:AG26"/>
    <mergeCell ref="AH23:AI26"/>
    <mergeCell ref="D23:V26"/>
    <mergeCell ref="Z27:AE27"/>
    <mergeCell ref="Z28:AB28"/>
    <mergeCell ref="AC28:AE28"/>
    <mergeCell ref="AX23:BA23"/>
    <mergeCell ref="AF52:AG56"/>
    <mergeCell ref="AH52:AI56"/>
    <mergeCell ref="C45:AI48"/>
    <mergeCell ref="AF27:AG30"/>
    <mergeCell ref="AH27:AI30"/>
    <mergeCell ref="Z30:AB30"/>
    <mergeCell ref="AC29:AE29"/>
    <mergeCell ref="D27:W30"/>
    <mergeCell ref="AN34:AN35"/>
    <mergeCell ref="C53:C55"/>
    <mergeCell ref="D32:Y34"/>
    <mergeCell ref="AD33:AE33"/>
    <mergeCell ref="AD37:AE37"/>
    <mergeCell ref="AA33:AB33"/>
    <mergeCell ref="AA37:AB37"/>
  </mergeCells>
  <pageMargins left="0.5" right="0.25" top="0.25" bottom="0.5" header="0.3" footer="0.35"/>
  <pageSetup orientation="portrait" r:id="rId1"/>
  <headerFooter>
    <oddFooter>&amp;L&amp;"Arial,Italic"&amp;8Based on MUTCD 2009
Page 5 of 7&amp;C&amp;"Arial,Bold"&amp;8&amp;UNOTE:&amp;"Arial,Italic"&amp;U  The satisfaction of a warrant or warrants shall not in
itself require the installation of a traffic control signal.&amp;R&amp;"Arial,Regular"&amp;8rev. 05/2011</oddFooter>
  </headerFooter>
</worksheet>
</file>

<file path=xl/worksheets/sheet6.xml><?xml version="1.0" encoding="utf-8"?>
<worksheet xmlns="http://schemas.openxmlformats.org/spreadsheetml/2006/main" xmlns:r="http://schemas.openxmlformats.org/officeDocument/2006/relationships">
  <sheetPr codeName="Sheet12"/>
  <dimension ref="A1:BX65"/>
  <sheetViews>
    <sheetView showGridLines="0" workbookViewId="0">
      <selection activeCell="D16" sqref="D16:AE19"/>
    </sheetView>
  </sheetViews>
  <sheetFormatPr defaultColWidth="2.7109375" defaultRowHeight="12" customHeight="1"/>
  <cols>
    <col min="1" max="1" width="0.85546875" customWidth="1"/>
    <col min="37" max="37" width="0.85546875" customWidth="1"/>
    <col min="40" max="44" width="2.7109375" hidden="1" customWidth="1"/>
  </cols>
  <sheetData>
    <row r="1" spans="1:76" ht="6" customHeight="1">
      <c r="A1" s="46"/>
      <c r="B1" s="210"/>
      <c r="C1" s="210"/>
      <c r="D1" s="210"/>
      <c r="E1" s="210"/>
      <c r="F1" s="210"/>
      <c r="G1" s="210"/>
      <c r="H1" s="210"/>
      <c r="I1" s="210"/>
      <c r="J1" s="210"/>
      <c r="K1" s="210"/>
      <c r="L1" s="210"/>
      <c r="M1" s="210"/>
      <c r="N1" s="210"/>
      <c r="O1" s="210"/>
      <c r="P1" s="210"/>
      <c r="Q1" s="210"/>
      <c r="R1" s="210"/>
      <c r="S1" s="210"/>
      <c r="T1" s="210"/>
      <c r="U1" s="210"/>
      <c r="V1" s="210"/>
      <c r="W1" s="210"/>
      <c r="X1" s="210"/>
      <c r="Y1" s="210"/>
      <c r="Z1" s="210"/>
      <c r="AA1" s="210"/>
      <c r="AB1" s="210"/>
      <c r="AC1" s="210"/>
      <c r="AD1" s="210"/>
      <c r="AE1" s="210"/>
      <c r="AF1" s="210"/>
      <c r="AG1" s="210"/>
      <c r="AH1" s="210"/>
      <c r="AI1" s="210"/>
      <c r="AJ1" s="210"/>
      <c r="AK1" s="211"/>
    </row>
    <row r="2" spans="1:76" ht="12" customHeight="1">
      <c r="A2" s="48"/>
      <c r="B2" s="492" t="s">
        <v>293</v>
      </c>
      <c r="C2" s="492"/>
      <c r="D2" s="492"/>
      <c r="E2" s="492"/>
      <c r="F2" s="492"/>
      <c r="G2" s="492"/>
      <c r="H2" s="492"/>
      <c r="I2" s="492"/>
      <c r="J2" s="492"/>
      <c r="K2" s="492"/>
      <c r="L2" s="492"/>
      <c r="M2" s="492"/>
      <c r="N2" s="492"/>
      <c r="O2" s="492"/>
      <c r="P2" s="492"/>
      <c r="Q2" s="492"/>
      <c r="R2" s="492"/>
      <c r="S2" s="492"/>
      <c r="T2" s="492"/>
      <c r="U2" s="492"/>
      <c r="V2" s="492"/>
      <c r="W2" s="492"/>
      <c r="X2" s="492"/>
      <c r="Y2" s="492"/>
      <c r="Z2" s="492"/>
      <c r="AA2" s="492"/>
      <c r="AB2" s="492"/>
      <c r="AC2" s="492"/>
      <c r="AD2" s="492"/>
      <c r="AE2" s="492"/>
      <c r="AF2" s="492"/>
      <c r="AG2" s="492"/>
      <c r="AH2" s="492"/>
      <c r="AI2" s="492"/>
      <c r="AJ2" s="492"/>
      <c r="AK2" s="49"/>
    </row>
    <row r="3" spans="1:76" ht="12" customHeight="1">
      <c r="A3" s="48"/>
      <c r="B3" s="492"/>
      <c r="C3" s="492"/>
      <c r="D3" s="492"/>
      <c r="E3" s="492"/>
      <c r="F3" s="492"/>
      <c r="G3" s="492"/>
      <c r="H3" s="492"/>
      <c r="I3" s="492"/>
      <c r="J3" s="492"/>
      <c r="K3" s="492"/>
      <c r="L3" s="492"/>
      <c r="M3" s="492"/>
      <c r="N3" s="492"/>
      <c r="O3" s="492"/>
      <c r="P3" s="492"/>
      <c r="Q3" s="492"/>
      <c r="R3" s="492"/>
      <c r="S3" s="492"/>
      <c r="T3" s="492"/>
      <c r="U3" s="492"/>
      <c r="V3" s="492"/>
      <c r="W3" s="492"/>
      <c r="X3" s="492"/>
      <c r="Y3" s="492"/>
      <c r="Z3" s="492"/>
      <c r="AA3" s="492"/>
      <c r="AB3" s="492"/>
      <c r="AC3" s="492"/>
      <c r="AD3" s="492"/>
      <c r="AE3" s="492"/>
      <c r="AF3" s="492"/>
      <c r="AG3" s="492"/>
      <c r="AH3" s="492"/>
      <c r="AI3" s="492"/>
      <c r="AJ3" s="492"/>
      <c r="AK3" s="49"/>
    </row>
    <row r="4" spans="1:76" ht="6" customHeight="1">
      <c r="A4" s="48"/>
      <c r="B4" s="176"/>
      <c r="C4" s="176"/>
      <c r="D4" s="176"/>
      <c r="E4" s="176"/>
      <c r="F4" s="176"/>
      <c r="G4" s="176"/>
      <c r="H4" s="176"/>
      <c r="I4" s="176"/>
      <c r="J4" s="176"/>
      <c r="K4" s="176"/>
      <c r="L4" s="176"/>
      <c r="M4" s="176"/>
      <c r="N4" s="176"/>
      <c r="O4" s="176"/>
      <c r="P4" s="176"/>
      <c r="Q4" s="176"/>
      <c r="R4" s="176"/>
      <c r="S4" s="176"/>
      <c r="T4" s="176"/>
      <c r="U4" s="176"/>
      <c r="V4" s="176"/>
      <c r="W4" s="176"/>
      <c r="X4" s="176"/>
      <c r="Y4" s="176"/>
      <c r="Z4" s="176"/>
      <c r="AA4" s="176"/>
      <c r="AB4" s="176"/>
      <c r="AC4" s="176"/>
      <c r="AD4" s="176"/>
      <c r="AE4" s="176"/>
      <c r="AF4" s="176"/>
      <c r="AG4" s="176"/>
      <c r="AH4" s="176"/>
      <c r="AI4" s="176"/>
      <c r="AJ4" s="176"/>
      <c r="AK4" s="49"/>
    </row>
    <row r="5" spans="1:76" ht="6" customHeight="1">
      <c r="A5" s="48"/>
      <c r="B5" s="170"/>
      <c r="C5" s="170"/>
      <c r="D5" s="170"/>
      <c r="E5" s="170"/>
      <c r="F5" s="170"/>
      <c r="G5" s="170"/>
      <c r="H5" s="170"/>
      <c r="I5" s="170"/>
      <c r="J5" s="170"/>
      <c r="K5" s="170"/>
      <c r="L5" s="170"/>
      <c r="M5" s="170"/>
      <c r="N5" s="170"/>
      <c r="O5" s="170"/>
      <c r="P5" s="170"/>
      <c r="Q5" s="170"/>
      <c r="R5" s="170"/>
      <c r="S5" s="170"/>
      <c r="T5" s="170"/>
      <c r="U5" s="170"/>
      <c r="V5" s="170"/>
      <c r="W5" s="170"/>
      <c r="X5" s="170"/>
      <c r="Y5" s="170"/>
      <c r="Z5" s="170"/>
      <c r="AA5" s="170"/>
      <c r="AB5" s="170"/>
      <c r="AC5" s="170"/>
      <c r="AD5" s="170"/>
      <c r="AE5" s="170"/>
      <c r="AF5" s="170"/>
      <c r="AG5" s="170"/>
      <c r="AH5" s="170"/>
      <c r="AI5" s="170"/>
      <c r="AJ5" s="170"/>
      <c r="AK5" s="49"/>
    </row>
    <row r="6" spans="1:76" ht="14.1" customHeight="1">
      <c r="A6" s="48"/>
      <c r="B6" s="209"/>
      <c r="C6" s="206" t="s">
        <v>167</v>
      </c>
      <c r="D6" s="170"/>
      <c r="E6" s="170"/>
      <c r="F6" s="170"/>
      <c r="G6" s="170"/>
      <c r="H6" s="170"/>
      <c r="I6" s="170"/>
      <c r="J6" s="170"/>
      <c r="K6" s="170"/>
      <c r="L6" s="170"/>
      <c r="M6" s="170"/>
      <c r="N6" s="170"/>
      <c r="O6" s="170"/>
      <c r="P6" s="170"/>
      <c r="Q6" s="170"/>
      <c r="R6" s="170"/>
      <c r="S6" s="170"/>
      <c r="T6" s="170"/>
      <c r="U6" s="170"/>
      <c r="V6" s="170"/>
      <c r="W6" s="170"/>
      <c r="X6" s="170"/>
      <c r="Y6" s="170"/>
      <c r="Z6" s="170"/>
      <c r="AA6" s="170"/>
      <c r="AB6" s="175" t="s">
        <v>37</v>
      </c>
      <c r="AC6" s="170"/>
      <c r="AD6" s="213" t="str">
        <f>IF(AP6=0,"",IF(AN6=1,"X",""))</f>
        <v/>
      </c>
      <c r="AE6" s="172" t="s">
        <v>27</v>
      </c>
      <c r="AF6" s="172"/>
      <c r="AG6" s="213" t="str">
        <f>IF(AP6=0,"",IF(AN6=0,"X",""))</f>
        <v/>
      </c>
      <c r="AH6" s="172" t="s">
        <v>28</v>
      </c>
      <c r="AI6" s="170"/>
      <c r="AJ6" s="170"/>
      <c r="AK6" s="49"/>
      <c r="AN6" s="245">
        <f>AN16*AN20*AN25</f>
        <v>0</v>
      </c>
      <c r="AO6" s="18"/>
      <c r="AP6" s="464">
        <f>IF('Warrant 1'!W9="",0,1)</f>
        <v>0</v>
      </c>
      <c r="AQ6" s="18"/>
      <c r="AR6" s="18"/>
    </row>
    <row r="7" spans="1:76" ht="6" customHeight="1">
      <c r="A7" s="48"/>
      <c r="B7" s="45"/>
      <c r="C7" s="45"/>
      <c r="D7" s="45"/>
      <c r="E7" s="45"/>
      <c r="F7" s="45"/>
      <c r="G7" s="45"/>
      <c r="H7" s="45"/>
      <c r="I7" s="45"/>
      <c r="J7" s="45"/>
      <c r="K7" s="45"/>
      <c r="L7" s="45"/>
      <c r="M7" s="45"/>
      <c r="N7" s="45"/>
      <c r="O7" s="45"/>
      <c r="P7" s="45"/>
      <c r="Q7" s="45"/>
      <c r="R7" s="45"/>
      <c r="S7" s="45"/>
      <c r="T7" s="45"/>
      <c r="U7" s="45"/>
      <c r="V7" s="45"/>
      <c r="W7" s="45"/>
      <c r="X7" s="45"/>
      <c r="Y7" s="45"/>
      <c r="Z7" s="45"/>
      <c r="AA7" s="45"/>
      <c r="AB7" s="45"/>
      <c r="AC7" s="45"/>
      <c r="AD7" s="45"/>
      <c r="AE7" s="45"/>
      <c r="AF7" s="45"/>
      <c r="AG7" s="45"/>
      <c r="AH7" s="45"/>
      <c r="AI7" s="45"/>
      <c r="AJ7" s="45"/>
      <c r="AK7" s="49"/>
      <c r="AN7" s="18"/>
      <c r="AO7" s="18"/>
      <c r="AP7" s="18"/>
      <c r="AQ7" s="18"/>
      <c r="AR7" s="18"/>
    </row>
    <row r="8" spans="1:76" ht="12" customHeight="1">
      <c r="A8" s="48"/>
      <c r="B8" s="45"/>
      <c r="C8" s="840" t="s">
        <v>245</v>
      </c>
      <c r="D8" s="840"/>
      <c r="E8" s="840"/>
      <c r="F8" s="840"/>
      <c r="G8" s="840"/>
      <c r="H8" s="840"/>
      <c r="I8" s="840"/>
      <c r="J8" s="840"/>
      <c r="K8" s="840"/>
      <c r="L8" s="840"/>
      <c r="M8" s="840"/>
      <c r="N8" s="840"/>
      <c r="O8" s="840"/>
      <c r="P8" s="840"/>
      <c r="Q8" s="840"/>
      <c r="R8" s="840"/>
      <c r="S8" s="840"/>
      <c r="T8" s="840"/>
      <c r="U8" s="840"/>
      <c r="V8" s="840"/>
      <c r="W8" s="840"/>
      <c r="X8" s="840"/>
      <c r="Y8" s="840"/>
      <c r="Z8" s="840"/>
      <c r="AA8" s="840"/>
      <c r="AB8" s="840"/>
      <c r="AC8" s="840"/>
      <c r="AD8" s="840"/>
      <c r="AE8" s="840"/>
      <c r="AF8" s="840"/>
      <c r="AG8" s="840"/>
      <c r="AH8" s="840"/>
      <c r="AI8" s="840"/>
      <c r="AJ8" s="45"/>
      <c r="AK8" s="49"/>
      <c r="AN8" s="18"/>
      <c r="AO8" s="18"/>
      <c r="AP8" s="18"/>
      <c r="AQ8" s="18"/>
      <c r="AR8" s="274"/>
      <c r="AS8" s="273"/>
      <c r="AT8" s="273"/>
      <c r="AU8" s="273"/>
      <c r="AV8" s="273"/>
      <c r="AW8" s="273"/>
      <c r="AX8" s="273"/>
      <c r="AY8" s="273"/>
      <c r="AZ8" s="273"/>
      <c r="BA8" s="273"/>
      <c r="BB8" s="273"/>
      <c r="BC8" s="273"/>
      <c r="BD8" s="273"/>
      <c r="BE8" s="273"/>
      <c r="BF8" s="273"/>
      <c r="BG8" s="273"/>
      <c r="BH8" s="273"/>
      <c r="BI8" s="273"/>
      <c r="BJ8" s="273"/>
      <c r="BK8" s="273"/>
      <c r="BL8" s="273"/>
      <c r="BM8" s="273"/>
      <c r="BN8" s="273"/>
      <c r="BO8" s="273"/>
      <c r="BP8" s="273"/>
      <c r="BQ8" s="273"/>
      <c r="BR8" s="273"/>
      <c r="BS8" s="273"/>
      <c r="BT8" s="273"/>
      <c r="BU8" s="273"/>
      <c r="BV8" s="273"/>
      <c r="BW8" s="273"/>
      <c r="BX8" s="273"/>
    </row>
    <row r="9" spans="1:76" ht="12" customHeight="1">
      <c r="A9" s="48"/>
      <c r="B9" s="45"/>
      <c r="C9" s="840"/>
      <c r="D9" s="840"/>
      <c r="E9" s="840"/>
      <c r="F9" s="840"/>
      <c r="G9" s="840"/>
      <c r="H9" s="840"/>
      <c r="I9" s="840"/>
      <c r="J9" s="840"/>
      <c r="K9" s="840"/>
      <c r="L9" s="840"/>
      <c r="M9" s="840"/>
      <c r="N9" s="840"/>
      <c r="O9" s="840"/>
      <c r="P9" s="840"/>
      <c r="Q9" s="840"/>
      <c r="R9" s="840"/>
      <c r="S9" s="840"/>
      <c r="T9" s="840"/>
      <c r="U9" s="840"/>
      <c r="V9" s="840"/>
      <c r="W9" s="840"/>
      <c r="X9" s="840"/>
      <c r="Y9" s="840"/>
      <c r="Z9" s="840"/>
      <c r="AA9" s="840"/>
      <c r="AB9" s="840"/>
      <c r="AC9" s="840"/>
      <c r="AD9" s="840"/>
      <c r="AE9" s="840"/>
      <c r="AF9" s="840"/>
      <c r="AG9" s="840"/>
      <c r="AH9" s="840"/>
      <c r="AI9" s="840"/>
      <c r="AJ9" s="45"/>
      <c r="AK9" s="49"/>
      <c r="AN9" s="18"/>
      <c r="AO9" s="18"/>
      <c r="AP9" s="18"/>
      <c r="AQ9" s="18"/>
      <c r="AR9" s="274"/>
      <c r="AS9" s="273"/>
      <c r="AT9" s="273"/>
      <c r="AU9" s="273"/>
      <c r="AV9" s="273"/>
      <c r="AW9" s="273"/>
      <c r="AX9" s="273"/>
      <c r="AY9" s="273"/>
      <c r="AZ9" s="273"/>
      <c r="BA9" s="273"/>
      <c r="BB9" s="273"/>
      <c r="BC9" s="273"/>
      <c r="BD9" s="273"/>
      <c r="BE9" s="273"/>
      <c r="BF9" s="273"/>
      <c r="BG9" s="273"/>
      <c r="BH9" s="273"/>
      <c r="BI9" s="273"/>
      <c r="BJ9" s="273"/>
      <c r="BK9" s="273"/>
      <c r="BL9" s="273"/>
      <c r="BM9" s="273"/>
      <c r="BN9" s="273"/>
      <c r="BO9" s="273"/>
      <c r="BP9" s="273"/>
      <c r="BQ9" s="273"/>
      <c r="BR9" s="273"/>
      <c r="BS9" s="273"/>
      <c r="BT9" s="273"/>
      <c r="BU9" s="273"/>
      <c r="BV9" s="273"/>
      <c r="BW9" s="273"/>
      <c r="BX9" s="273"/>
    </row>
    <row r="10" spans="1:76" ht="12" customHeight="1">
      <c r="A10" s="48"/>
      <c r="B10" s="45"/>
      <c r="C10" s="840"/>
      <c r="D10" s="840"/>
      <c r="E10" s="840"/>
      <c r="F10" s="840"/>
      <c r="G10" s="840"/>
      <c r="H10" s="840"/>
      <c r="I10" s="840"/>
      <c r="J10" s="840"/>
      <c r="K10" s="840"/>
      <c r="L10" s="840"/>
      <c r="M10" s="840"/>
      <c r="N10" s="840"/>
      <c r="O10" s="840"/>
      <c r="P10" s="840"/>
      <c r="Q10" s="840"/>
      <c r="R10" s="840"/>
      <c r="S10" s="840"/>
      <c r="T10" s="840"/>
      <c r="U10" s="840"/>
      <c r="V10" s="840"/>
      <c r="W10" s="840"/>
      <c r="X10" s="840"/>
      <c r="Y10" s="840"/>
      <c r="Z10" s="840"/>
      <c r="AA10" s="840"/>
      <c r="AB10" s="840"/>
      <c r="AC10" s="840"/>
      <c r="AD10" s="840"/>
      <c r="AE10" s="840"/>
      <c r="AF10" s="840"/>
      <c r="AG10" s="840"/>
      <c r="AH10" s="840"/>
      <c r="AI10" s="840"/>
      <c r="AJ10" s="45"/>
      <c r="AK10" s="49"/>
      <c r="AN10" s="18"/>
      <c r="AO10" s="18"/>
      <c r="AP10" s="18"/>
      <c r="AQ10" s="18"/>
      <c r="AR10" s="274"/>
      <c r="AS10" s="273"/>
      <c r="AT10" s="273"/>
      <c r="AU10" s="273"/>
      <c r="AV10" s="273"/>
      <c r="AW10" s="273"/>
      <c r="AX10" s="273"/>
      <c r="AY10" s="273"/>
      <c r="AZ10" s="273"/>
      <c r="BA10" s="273"/>
      <c r="BB10" s="273"/>
      <c r="BC10" s="273"/>
      <c r="BD10" s="273"/>
      <c r="BE10" s="273"/>
      <c r="BF10" s="273"/>
      <c r="BG10" s="273"/>
      <c r="BH10" s="273"/>
      <c r="BI10" s="273"/>
      <c r="BJ10" s="273"/>
      <c r="BK10" s="273"/>
      <c r="BL10" s="273"/>
      <c r="BM10" s="273"/>
      <c r="BN10" s="273"/>
      <c r="BO10" s="273"/>
      <c r="BP10" s="273"/>
      <c r="BQ10" s="273"/>
      <c r="BR10" s="273"/>
      <c r="BS10" s="273"/>
      <c r="BT10" s="273"/>
      <c r="BU10" s="273"/>
      <c r="BV10" s="273"/>
      <c r="BW10" s="273"/>
      <c r="BX10" s="273"/>
    </row>
    <row r="11" spans="1:76" ht="12" customHeight="1" thickBot="1">
      <c r="A11" s="48"/>
      <c r="B11" s="45"/>
      <c r="C11" s="45"/>
      <c r="D11" s="45"/>
      <c r="E11" s="45"/>
      <c r="F11" s="45"/>
      <c r="G11" s="45"/>
      <c r="H11" s="45"/>
      <c r="I11" s="45"/>
      <c r="J11" s="45"/>
      <c r="K11" s="45"/>
      <c r="L11" s="45"/>
      <c r="M11" s="45"/>
      <c r="N11" s="45"/>
      <c r="O11" s="45"/>
      <c r="P11" s="45"/>
      <c r="Q11" s="45"/>
      <c r="R11" s="45"/>
      <c r="S11" s="45"/>
      <c r="T11" s="45"/>
      <c r="U11" s="45"/>
      <c r="V11" s="45"/>
      <c r="W11" s="45"/>
      <c r="X11" s="45"/>
      <c r="Y11" s="45"/>
      <c r="Z11" s="45"/>
      <c r="AA11" s="45"/>
      <c r="AB11" s="45"/>
      <c r="AC11" s="45"/>
      <c r="AD11" s="45"/>
      <c r="AE11" s="45"/>
      <c r="AF11" s="45"/>
      <c r="AG11" s="45"/>
      <c r="AH11" s="45"/>
      <c r="AI11" s="45"/>
      <c r="AJ11" s="45"/>
      <c r="AK11" s="49"/>
      <c r="AN11" s="18"/>
      <c r="AO11" s="18"/>
      <c r="AP11" s="18"/>
      <c r="AQ11" s="18"/>
      <c r="AR11" s="18"/>
    </row>
    <row r="12" spans="1:76" ht="12" customHeight="1" thickTop="1">
      <c r="A12" s="48"/>
      <c r="B12" s="45"/>
      <c r="C12" s="889" t="s">
        <v>162</v>
      </c>
      <c r="D12" s="819"/>
      <c r="E12" s="819"/>
      <c r="F12" s="819"/>
      <c r="G12" s="819"/>
      <c r="H12" s="819"/>
      <c r="I12" s="819"/>
      <c r="J12" s="819"/>
      <c r="K12" s="819"/>
      <c r="L12" s="819"/>
      <c r="M12" s="819"/>
      <c r="N12" s="819"/>
      <c r="O12" s="819"/>
      <c r="P12" s="819"/>
      <c r="Q12" s="819"/>
      <c r="R12" s="819"/>
      <c r="S12" s="819"/>
      <c r="T12" s="819"/>
      <c r="U12" s="819"/>
      <c r="V12" s="819"/>
      <c r="W12" s="819"/>
      <c r="X12" s="819"/>
      <c r="Y12" s="819"/>
      <c r="Z12" s="819"/>
      <c r="AA12" s="819"/>
      <c r="AB12" s="819"/>
      <c r="AC12" s="819"/>
      <c r="AD12" s="819"/>
      <c r="AE12" s="890"/>
      <c r="AF12" s="893" t="s">
        <v>145</v>
      </c>
      <c r="AG12" s="894"/>
      <c r="AH12" s="894"/>
      <c r="AI12" s="895"/>
      <c r="AJ12" s="45"/>
      <c r="AK12" s="49"/>
      <c r="AN12" s="18"/>
      <c r="AO12" s="18"/>
      <c r="AP12" s="18"/>
      <c r="AQ12" s="18"/>
      <c r="AR12" s="18"/>
    </row>
    <row r="13" spans="1:76" ht="12" customHeight="1" thickBot="1">
      <c r="A13" s="48"/>
      <c r="B13" s="45"/>
      <c r="C13" s="891"/>
      <c r="D13" s="825"/>
      <c r="E13" s="825"/>
      <c r="F13" s="825"/>
      <c r="G13" s="825"/>
      <c r="H13" s="825"/>
      <c r="I13" s="825"/>
      <c r="J13" s="825"/>
      <c r="K13" s="825"/>
      <c r="L13" s="825"/>
      <c r="M13" s="825"/>
      <c r="N13" s="825"/>
      <c r="O13" s="825"/>
      <c r="P13" s="825"/>
      <c r="Q13" s="825"/>
      <c r="R13" s="825"/>
      <c r="S13" s="825"/>
      <c r="T13" s="825"/>
      <c r="U13" s="825"/>
      <c r="V13" s="825"/>
      <c r="W13" s="825"/>
      <c r="X13" s="825"/>
      <c r="Y13" s="825"/>
      <c r="Z13" s="825"/>
      <c r="AA13" s="825"/>
      <c r="AB13" s="825"/>
      <c r="AC13" s="825"/>
      <c r="AD13" s="825"/>
      <c r="AE13" s="892"/>
      <c r="AF13" s="896" t="s">
        <v>27</v>
      </c>
      <c r="AG13" s="897"/>
      <c r="AH13" s="897" t="s">
        <v>28</v>
      </c>
      <c r="AI13" s="898"/>
      <c r="AJ13" s="45"/>
      <c r="AK13" s="49"/>
      <c r="AN13" s="18"/>
      <c r="AO13" s="18"/>
      <c r="AP13" s="18"/>
      <c r="AQ13" s="18"/>
      <c r="AR13" s="275"/>
    </row>
    <row r="14" spans="1:76" ht="12" customHeight="1">
      <c r="A14" s="48"/>
      <c r="B14" s="45"/>
      <c r="C14" s="232" t="s">
        <v>156</v>
      </c>
      <c r="D14" s="939" t="s">
        <v>246</v>
      </c>
      <c r="E14" s="939"/>
      <c r="F14" s="939"/>
      <c r="G14" s="939"/>
      <c r="H14" s="939"/>
      <c r="I14" s="939"/>
      <c r="J14" s="939"/>
      <c r="K14" s="939"/>
      <c r="L14" s="939"/>
      <c r="M14" s="939"/>
      <c r="N14" s="939"/>
      <c r="O14" s="939"/>
      <c r="P14" s="939"/>
      <c r="Q14" s="939"/>
      <c r="R14" s="939"/>
      <c r="S14" s="939"/>
      <c r="T14" s="939"/>
      <c r="U14" s="939"/>
      <c r="V14" s="939"/>
      <c r="W14" s="939"/>
      <c r="X14" s="939"/>
      <c r="Y14" s="939"/>
      <c r="Z14" s="939"/>
      <c r="AA14" s="939"/>
      <c r="AB14" s="939"/>
      <c r="AC14" s="939"/>
      <c r="AD14" s="939"/>
      <c r="AE14" s="939"/>
      <c r="AF14" s="1098"/>
      <c r="AG14" s="1099"/>
      <c r="AH14" s="1099"/>
      <c r="AI14" s="1100"/>
      <c r="AJ14" s="45"/>
      <c r="AK14" s="49"/>
      <c r="AN14" s="18"/>
      <c r="AO14" s="18"/>
      <c r="AP14" s="18"/>
      <c r="AQ14" s="18"/>
      <c r="AR14" s="18"/>
    </row>
    <row r="15" spans="1:76" ht="12" customHeight="1">
      <c r="A15" s="48"/>
      <c r="B15" s="45"/>
      <c r="C15" s="216"/>
      <c r="D15" s="935"/>
      <c r="E15" s="935"/>
      <c r="F15" s="935"/>
      <c r="G15" s="935"/>
      <c r="H15" s="935"/>
      <c r="I15" s="935"/>
      <c r="J15" s="935"/>
      <c r="K15" s="935"/>
      <c r="L15" s="935"/>
      <c r="M15" s="935"/>
      <c r="N15" s="935"/>
      <c r="O15" s="935"/>
      <c r="P15" s="935"/>
      <c r="Q15" s="935"/>
      <c r="R15" s="935"/>
      <c r="S15" s="935"/>
      <c r="T15" s="935"/>
      <c r="U15" s="935"/>
      <c r="V15" s="935"/>
      <c r="W15" s="935"/>
      <c r="X15" s="935"/>
      <c r="Y15" s="935"/>
      <c r="Z15" s="935"/>
      <c r="AA15" s="935"/>
      <c r="AB15" s="935"/>
      <c r="AC15" s="935"/>
      <c r="AD15" s="935"/>
      <c r="AE15" s="935"/>
      <c r="AF15" s="1101"/>
      <c r="AG15" s="1102"/>
      <c r="AH15" s="1102"/>
      <c r="AI15" s="1103"/>
      <c r="AJ15" s="45"/>
      <c r="AK15" s="49"/>
      <c r="AN15" s="18"/>
      <c r="AO15" s="18"/>
      <c r="AP15" s="18"/>
      <c r="AQ15" s="18"/>
      <c r="AR15" s="18"/>
    </row>
    <row r="16" spans="1:76" ht="12" customHeight="1">
      <c r="A16" s="48"/>
      <c r="B16" s="45"/>
      <c r="C16" s="414"/>
      <c r="D16" s="1068"/>
      <c r="E16" s="1068"/>
      <c r="F16" s="1068"/>
      <c r="G16" s="1068"/>
      <c r="H16" s="1068"/>
      <c r="I16" s="1068"/>
      <c r="J16" s="1068"/>
      <c r="K16" s="1068"/>
      <c r="L16" s="1068"/>
      <c r="M16" s="1068"/>
      <c r="N16" s="1068"/>
      <c r="O16" s="1068"/>
      <c r="P16" s="1068"/>
      <c r="Q16" s="1068"/>
      <c r="R16" s="1068"/>
      <c r="S16" s="1068"/>
      <c r="T16" s="1068"/>
      <c r="U16" s="1068"/>
      <c r="V16" s="1068"/>
      <c r="W16" s="1068"/>
      <c r="X16" s="1068"/>
      <c r="Y16" s="1068"/>
      <c r="Z16" s="1068"/>
      <c r="AA16" s="1068"/>
      <c r="AB16" s="1068"/>
      <c r="AC16" s="1068"/>
      <c r="AD16" s="1068"/>
      <c r="AE16" s="1069"/>
      <c r="AF16" s="1111" t="str">
        <f>IF(AP6=0,"",IF(D16="","","X"))</f>
        <v/>
      </c>
      <c r="AG16" s="1064"/>
      <c r="AH16" s="1064" t="str">
        <f>IF($AP$6=0,"",IF(AF16="X","","X"))</f>
        <v/>
      </c>
      <c r="AI16" s="1065"/>
      <c r="AJ16" s="45"/>
      <c r="AK16" s="49"/>
      <c r="AN16" s="490">
        <f>IF(AF16="X",1,0)</f>
        <v>0</v>
      </c>
      <c r="AO16" s="18"/>
      <c r="AP16" s="18"/>
      <c r="AQ16" s="18"/>
      <c r="AR16" s="18"/>
    </row>
    <row r="17" spans="1:44" ht="12" customHeight="1">
      <c r="A17" s="48"/>
      <c r="B17" s="45"/>
      <c r="C17" s="415"/>
      <c r="D17" s="1070"/>
      <c r="E17" s="1070"/>
      <c r="F17" s="1070"/>
      <c r="G17" s="1070"/>
      <c r="H17" s="1070"/>
      <c r="I17" s="1070"/>
      <c r="J17" s="1070"/>
      <c r="K17" s="1070"/>
      <c r="L17" s="1070"/>
      <c r="M17" s="1070"/>
      <c r="N17" s="1070"/>
      <c r="O17" s="1070"/>
      <c r="P17" s="1070"/>
      <c r="Q17" s="1070"/>
      <c r="R17" s="1070"/>
      <c r="S17" s="1070"/>
      <c r="T17" s="1070"/>
      <c r="U17" s="1070"/>
      <c r="V17" s="1070"/>
      <c r="W17" s="1070"/>
      <c r="X17" s="1070"/>
      <c r="Y17" s="1070"/>
      <c r="Z17" s="1070"/>
      <c r="AA17" s="1070"/>
      <c r="AB17" s="1070"/>
      <c r="AC17" s="1070"/>
      <c r="AD17" s="1070"/>
      <c r="AE17" s="1071"/>
      <c r="AF17" s="1111"/>
      <c r="AG17" s="1064"/>
      <c r="AH17" s="1064"/>
      <c r="AI17" s="1065"/>
      <c r="AJ17" s="45"/>
      <c r="AK17" s="49"/>
      <c r="AN17" s="490"/>
      <c r="AO17" s="18"/>
      <c r="AP17" s="18"/>
      <c r="AQ17" s="18"/>
      <c r="AR17" s="18"/>
    </row>
    <row r="18" spans="1:44" ht="12" customHeight="1">
      <c r="A18" s="48"/>
      <c r="B18" s="45"/>
      <c r="C18" s="415"/>
      <c r="D18" s="1070"/>
      <c r="E18" s="1070"/>
      <c r="F18" s="1070"/>
      <c r="G18" s="1070"/>
      <c r="H18" s="1070"/>
      <c r="I18" s="1070"/>
      <c r="J18" s="1070"/>
      <c r="K18" s="1070"/>
      <c r="L18" s="1070"/>
      <c r="M18" s="1070"/>
      <c r="N18" s="1070"/>
      <c r="O18" s="1070"/>
      <c r="P18" s="1070"/>
      <c r="Q18" s="1070"/>
      <c r="R18" s="1070"/>
      <c r="S18" s="1070"/>
      <c r="T18" s="1070"/>
      <c r="U18" s="1070"/>
      <c r="V18" s="1070"/>
      <c r="W18" s="1070"/>
      <c r="X18" s="1070"/>
      <c r="Y18" s="1070"/>
      <c r="Z18" s="1070"/>
      <c r="AA18" s="1070"/>
      <c r="AB18" s="1070"/>
      <c r="AC18" s="1070"/>
      <c r="AD18" s="1070"/>
      <c r="AE18" s="1071"/>
      <c r="AF18" s="1111"/>
      <c r="AG18" s="1064"/>
      <c r="AH18" s="1064"/>
      <c r="AI18" s="1065"/>
      <c r="AJ18" s="45"/>
      <c r="AK18" s="49"/>
      <c r="AN18" s="490"/>
      <c r="AO18" s="18"/>
      <c r="AP18" s="18"/>
      <c r="AQ18" s="18"/>
      <c r="AR18" s="18"/>
    </row>
    <row r="19" spans="1:44" ht="12" customHeight="1" thickBot="1">
      <c r="A19" s="48"/>
      <c r="B19" s="45"/>
      <c r="C19" s="416"/>
      <c r="D19" s="1072"/>
      <c r="E19" s="1072"/>
      <c r="F19" s="1072"/>
      <c r="G19" s="1072"/>
      <c r="H19" s="1072"/>
      <c r="I19" s="1072"/>
      <c r="J19" s="1072"/>
      <c r="K19" s="1072"/>
      <c r="L19" s="1072"/>
      <c r="M19" s="1072"/>
      <c r="N19" s="1072"/>
      <c r="O19" s="1072"/>
      <c r="P19" s="1072"/>
      <c r="Q19" s="1072"/>
      <c r="R19" s="1072"/>
      <c r="S19" s="1072"/>
      <c r="T19" s="1072"/>
      <c r="U19" s="1072"/>
      <c r="V19" s="1072"/>
      <c r="W19" s="1072"/>
      <c r="X19" s="1072"/>
      <c r="Y19" s="1072"/>
      <c r="Z19" s="1072"/>
      <c r="AA19" s="1072"/>
      <c r="AB19" s="1072"/>
      <c r="AC19" s="1072"/>
      <c r="AD19" s="1072"/>
      <c r="AE19" s="1073"/>
      <c r="AF19" s="1112"/>
      <c r="AG19" s="1066"/>
      <c r="AH19" s="1066"/>
      <c r="AI19" s="1067"/>
      <c r="AJ19" s="45"/>
      <c r="AK19" s="49"/>
      <c r="AN19" s="490"/>
      <c r="AO19" s="18"/>
      <c r="AP19" s="18"/>
      <c r="AQ19" s="18"/>
      <c r="AR19" s="18"/>
    </row>
    <row r="20" spans="1:44" ht="12.95" customHeight="1">
      <c r="A20" s="48"/>
      <c r="B20" s="45"/>
      <c r="C20" s="233" t="s">
        <v>157</v>
      </c>
      <c r="D20" s="1106" t="s">
        <v>247</v>
      </c>
      <c r="E20" s="864"/>
      <c r="F20" s="864"/>
      <c r="G20" s="864"/>
      <c r="H20" s="864"/>
      <c r="I20" s="864"/>
      <c r="J20" s="864"/>
      <c r="K20" s="864"/>
      <c r="L20" s="864"/>
      <c r="M20" s="864"/>
      <c r="N20" s="864"/>
      <c r="O20" s="864"/>
      <c r="P20" s="864"/>
      <c r="Q20" s="864"/>
      <c r="R20" s="864"/>
      <c r="S20" s="864"/>
      <c r="T20" s="864"/>
      <c r="U20" s="864"/>
      <c r="V20" s="864"/>
      <c r="W20" s="864"/>
      <c r="X20" s="864"/>
      <c r="Y20" s="864"/>
      <c r="Z20" s="864"/>
      <c r="AA20" s="864"/>
      <c r="AB20" s="864"/>
      <c r="AC20" s="864"/>
      <c r="AD20" s="1107"/>
      <c r="AE20" s="1108"/>
      <c r="AF20" s="1113" t="str">
        <f>IF(AP6=0,"",IF(AN20=1,"X",""))</f>
        <v/>
      </c>
      <c r="AG20" s="1062"/>
      <c r="AH20" s="1062" t="str">
        <f>IF(AP6=0,"",IF(AN20=0,"X",""))</f>
        <v/>
      </c>
      <c r="AI20" s="1063"/>
      <c r="AJ20" s="45"/>
      <c r="AK20" s="49"/>
      <c r="AN20" s="490">
        <f>IF(AD20&gt;=5,1,0)</f>
        <v>0</v>
      </c>
      <c r="AO20" s="18"/>
      <c r="AP20" s="18"/>
      <c r="AQ20" s="18"/>
      <c r="AR20" s="18"/>
    </row>
    <row r="21" spans="1:44" ht="12.95" customHeight="1">
      <c r="A21" s="48"/>
      <c r="B21" s="45"/>
      <c r="C21" s="232"/>
      <c r="D21" s="866"/>
      <c r="E21" s="866"/>
      <c r="F21" s="866"/>
      <c r="G21" s="866"/>
      <c r="H21" s="866"/>
      <c r="I21" s="866"/>
      <c r="J21" s="866"/>
      <c r="K21" s="866"/>
      <c r="L21" s="866"/>
      <c r="M21" s="866"/>
      <c r="N21" s="866"/>
      <c r="O21" s="866"/>
      <c r="P21" s="866"/>
      <c r="Q21" s="866"/>
      <c r="R21" s="866"/>
      <c r="S21" s="866"/>
      <c r="T21" s="866"/>
      <c r="U21" s="866"/>
      <c r="V21" s="866"/>
      <c r="W21" s="866"/>
      <c r="X21" s="866"/>
      <c r="Y21" s="866"/>
      <c r="Z21" s="866"/>
      <c r="AA21" s="866"/>
      <c r="AB21" s="866"/>
      <c r="AC21" s="866"/>
      <c r="AD21" s="1109"/>
      <c r="AE21" s="1110"/>
      <c r="AF21" s="1111"/>
      <c r="AG21" s="1064"/>
      <c r="AH21" s="1064"/>
      <c r="AI21" s="1065"/>
      <c r="AJ21" s="45"/>
      <c r="AK21" s="49"/>
      <c r="AN21" s="490"/>
      <c r="AO21" s="18"/>
      <c r="AP21" s="18"/>
      <c r="AQ21" s="18"/>
      <c r="AR21" s="18"/>
    </row>
    <row r="22" spans="1:44" ht="12.95" customHeight="1" thickBot="1">
      <c r="A22" s="48"/>
      <c r="B22" s="45"/>
      <c r="C22" s="218"/>
      <c r="D22" s="868"/>
      <c r="E22" s="868"/>
      <c r="F22" s="868"/>
      <c r="G22" s="868"/>
      <c r="H22" s="868"/>
      <c r="I22" s="868"/>
      <c r="J22" s="868"/>
      <c r="K22" s="868"/>
      <c r="L22" s="868"/>
      <c r="M22" s="868"/>
      <c r="N22" s="868"/>
      <c r="O22" s="868"/>
      <c r="P22" s="868"/>
      <c r="Q22" s="868"/>
      <c r="R22" s="868"/>
      <c r="S22" s="868"/>
      <c r="T22" s="868"/>
      <c r="U22" s="868"/>
      <c r="V22" s="868"/>
      <c r="W22" s="868"/>
      <c r="X22" s="868"/>
      <c r="Y22" s="868"/>
      <c r="Z22" s="868"/>
      <c r="AA22" s="868"/>
      <c r="AB22" s="866"/>
      <c r="AC22" s="866"/>
      <c r="AD22" s="1109"/>
      <c r="AE22" s="1110"/>
      <c r="AF22" s="1112"/>
      <c r="AG22" s="1066"/>
      <c r="AH22" s="1066"/>
      <c r="AI22" s="1067"/>
      <c r="AJ22" s="45"/>
      <c r="AK22" s="49"/>
      <c r="AN22" s="490"/>
      <c r="AO22" s="18"/>
      <c r="AP22" s="18"/>
      <c r="AQ22" s="18"/>
      <c r="AR22" s="18"/>
    </row>
    <row r="23" spans="1:44" ht="12" customHeight="1">
      <c r="A23" s="48"/>
      <c r="B23" s="45"/>
      <c r="C23" s="227" t="s">
        <v>158</v>
      </c>
      <c r="D23" s="864" t="s">
        <v>169</v>
      </c>
      <c r="E23" s="864"/>
      <c r="F23" s="864"/>
      <c r="G23" s="864"/>
      <c r="H23" s="864"/>
      <c r="I23" s="864"/>
      <c r="J23" s="864"/>
      <c r="K23" s="864"/>
      <c r="L23" s="864"/>
      <c r="M23" s="864"/>
      <c r="N23" s="864"/>
      <c r="O23" s="864"/>
      <c r="P23" s="864"/>
      <c r="Q23" s="864"/>
      <c r="R23" s="864"/>
      <c r="S23" s="864"/>
      <c r="T23" s="864"/>
      <c r="U23" s="864"/>
      <c r="V23" s="864"/>
      <c r="W23" s="864"/>
      <c r="X23" s="864"/>
      <c r="Y23" s="864"/>
      <c r="Z23" s="864"/>
      <c r="AA23" s="864"/>
      <c r="AB23" s="841" t="s">
        <v>168</v>
      </c>
      <c r="AC23" s="1104"/>
      <c r="AD23" s="1104"/>
      <c r="AE23" s="1105"/>
      <c r="AF23" s="1098"/>
      <c r="AG23" s="1099"/>
      <c r="AH23" s="1099"/>
      <c r="AI23" s="1100"/>
      <c r="AJ23" s="45"/>
      <c r="AK23" s="49"/>
      <c r="AN23" s="18"/>
      <c r="AO23" s="18"/>
      <c r="AP23" s="18"/>
      <c r="AQ23" s="18"/>
      <c r="AR23" s="18"/>
    </row>
    <row r="24" spans="1:44" ht="12" customHeight="1" thickBot="1">
      <c r="A24" s="48"/>
      <c r="B24" s="45"/>
      <c r="C24" s="216"/>
      <c r="D24" s="866"/>
      <c r="E24" s="866"/>
      <c r="F24" s="866"/>
      <c r="G24" s="866"/>
      <c r="H24" s="866"/>
      <c r="I24" s="866"/>
      <c r="J24" s="866"/>
      <c r="K24" s="866"/>
      <c r="L24" s="866"/>
      <c r="M24" s="866"/>
      <c r="N24" s="866"/>
      <c r="O24" s="866"/>
      <c r="P24" s="866"/>
      <c r="Q24" s="866"/>
      <c r="R24" s="866"/>
      <c r="S24" s="866"/>
      <c r="T24" s="866"/>
      <c r="U24" s="866"/>
      <c r="V24" s="866"/>
      <c r="W24" s="866"/>
      <c r="X24" s="866"/>
      <c r="Y24" s="866"/>
      <c r="Z24" s="866"/>
      <c r="AA24" s="866"/>
      <c r="AB24" s="896" t="s">
        <v>27</v>
      </c>
      <c r="AC24" s="897"/>
      <c r="AD24" s="897" t="s">
        <v>28</v>
      </c>
      <c r="AE24" s="993"/>
      <c r="AF24" s="1101"/>
      <c r="AG24" s="1102"/>
      <c r="AH24" s="1102"/>
      <c r="AI24" s="1103"/>
      <c r="AJ24" s="45"/>
      <c r="AK24" s="49"/>
      <c r="AN24" s="18"/>
      <c r="AO24" s="18"/>
      <c r="AP24" s="18"/>
      <c r="AQ24" s="18"/>
      <c r="AR24" s="18"/>
    </row>
    <row r="25" spans="1:44" ht="12" customHeight="1">
      <c r="A25" s="48"/>
      <c r="B25" s="45"/>
      <c r="C25" s="234"/>
      <c r="D25" s="1077" t="s">
        <v>172</v>
      </c>
      <c r="E25" s="1077"/>
      <c r="F25" s="1077"/>
      <c r="G25" s="1077"/>
      <c r="H25" s="1077"/>
      <c r="I25" s="1077"/>
      <c r="J25" s="1077"/>
      <c r="K25" s="1077"/>
      <c r="L25" s="1077"/>
      <c r="M25" s="1077"/>
      <c r="N25" s="1077"/>
      <c r="O25" s="1077"/>
      <c r="P25" s="1077"/>
      <c r="Q25" s="1077"/>
      <c r="R25" s="1077"/>
      <c r="S25" s="1077"/>
      <c r="T25" s="1077"/>
      <c r="U25" s="1077"/>
      <c r="V25" s="1077"/>
      <c r="W25" s="1077"/>
      <c r="X25" s="1077"/>
      <c r="Y25" s="1077"/>
      <c r="Z25" s="1077"/>
      <c r="AA25" s="1078"/>
      <c r="AB25" s="1088" t="str">
        <f>IF(AP6=0,"",IF('Warrant 1'!AZ57=1,"X",""))</f>
        <v/>
      </c>
      <c r="AC25" s="1089"/>
      <c r="AD25" s="1043" t="str">
        <f>IF(AP$6=0,"",IF(AB25="X","","X"))</f>
        <v/>
      </c>
      <c r="AE25" s="1044"/>
      <c r="AF25" s="1048" t="str">
        <f>IF(AP6=0,"",IF(AN25=1,"X",""))</f>
        <v/>
      </c>
      <c r="AG25" s="1049"/>
      <c r="AH25" s="1050" t="str">
        <f>IF(AP6=0,"",IF(AN25=0,"X",""))</f>
        <v/>
      </c>
      <c r="AI25" s="1051"/>
      <c r="AJ25" s="45"/>
      <c r="AK25" s="49"/>
      <c r="AN25" s="490">
        <f>IF(SUM(AP25:AP28)&gt;=1,1,0)</f>
        <v>0</v>
      </c>
      <c r="AO25" s="18"/>
      <c r="AP25" s="18">
        <f>IF(AB25="X",1,0)</f>
        <v>0</v>
      </c>
      <c r="AQ25" s="18"/>
      <c r="AR25" s="18"/>
    </row>
    <row r="26" spans="1:44" ht="12" customHeight="1">
      <c r="A26" s="48"/>
      <c r="B26" s="45"/>
      <c r="C26" s="234"/>
      <c r="D26" s="1077" t="s">
        <v>173</v>
      </c>
      <c r="E26" s="1077"/>
      <c r="F26" s="1077"/>
      <c r="G26" s="1077"/>
      <c r="H26" s="1077"/>
      <c r="I26" s="1077"/>
      <c r="J26" s="1077"/>
      <c r="K26" s="1077"/>
      <c r="L26" s="1077"/>
      <c r="M26" s="1077"/>
      <c r="N26" s="1077"/>
      <c r="O26" s="1077"/>
      <c r="P26" s="1077"/>
      <c r="Q26" s="1077"/>
      <c r="R26" s="1077"/>
      <c r="S26" s="1077"/>
      <c r="T26" s="1077"/>
      <c r="U26" s="1077"/>
      <c r="V26" s="1077"/>
      <c r="W26" s="1077"/>
      <c r="X26" s="1077"/>
      <c r="Y26" s="1077"/>
      <c r="Z26" s="1077"/>
      <c r="AA26" s="1078"/>
      <c r="AB26" s="1079" t="str">
        <f>IF(AP6=0,"",IF('Warrant 1'!AZ64=1,"X",""))</f>
        <v/>
      </c>
      <c r="AC26" s="1080"/>
      <c r="AD26" s="1081" t="str">
        <f t="shared" ref="AD26:AD28" si="0">IF(AP$6=0,"",IF(AB26="X","","X"))</f>
        <v/>
      </c>
      <c r="AE26" s="1082"/>
      <c r="AF26" s="843"/>
      <c r="AG26" s="844"/>
      <c r="AH26" s="821"/>
      <c r="AI26" s="823"/>
      <c r="AJ26" s="45"/>
      <c r="AK26" s="49"/>
      <c r="AN26" s="490"/>
      <c r="AO26" s="18"/>
      <c r="AP26" s="18">
        <f t="shared" ref="AP26:AP28" si="1">IF(AB26="X",1,0)</f>
        <v>0</v>
      </c>
      <c r="AQ26" s="18"/>
      <c r="AR26" s="18"/>
    </row>
    <row r="27" spans="1:44" ht="12" customHeight="1">
      <c r="A27" s="48"/>
      <c r="B27" s="45"/>
      <c r="C27" s="234"/>
      <c r="D27" s="1077" t="s">
        <v>170</v>
      </c>
      <c r="E27" s="1077"/>
      <c r="F27" s="1077"/>
      <c r="G27" s="1077"/>
      <c r="H27" s="1077"/>
      <c r="I27" s="1077"/>
      <c r="J27" s="1077"/>
      <c r="K27" s="1077"/>
      <c r="L27" s="1077"/>
      <c r="M27" s="1077"/>
      <c r="N27" s="1077"/>
      <c r="O27" s="1077"/>
      <c r="P27" s="1077"/>
      <c r="Q27" s="1077"/>
      <c r="R27" s="1077"/>
      <c r="S27" s="1077"/>
      <c r="T27" s="1077"/>
      <c r="U27" s="1077"/>
      <c r="V27" s="1077"/>
      <c r="W27" s="1077"/>
      <c r="X27" s="1077"/>
      <c r="Y27" s="1077"/>
      <c r="Z27" s="1077"/>
      <c r="AA27" s="1078"/>
      <c r="AB27" s="1079" t="str">
        <f>IF(AP6=0,"",IF(W4Calc!F42&gt;=4,"X",""))</f>
        <v/>
      </c>
      <c r="AC27" s="1080"/>
      <c r="AD27" s="1081" t="str">
        <f t="shared" si="0"/>
        <v/>
      </c>
      <c r="AE27" s="1082"/>
      <c r="AF27" s="843"/>
      <c r="AG27" s="844"/>
      <c r="AH27" s="821"/>
      <c r="AI27" s="823"/>
      <c r="AJ27" s="45"/>
      <c r="AK27" s="49"/>
      <c r="AN27" s="490"/>
      <c r="AO27" s="18"/>
      <c r="AP27" s="18">
        <f t="shared" si="1"/>
        <v>0</v>
      </c>
      <c r="AQ27" s="18"/>
      <c r="AR27" s="18"/>
    </row>
    <row r="28" spans="1:44" ht="12" customHeight="1" thickBot="1">
      <c r="A28" s="48"/>
      <c r="B28" s="45"/>
      <c r="C28" s="235"/>
      <c r="D28" s="1083" t="s">
        <v>171</v>
      </c>
      <c r="E28" s="1083"/>
      <c r="F28" s="1083"/>
      <c r="G28" s="1083"/>
      <c r="H28" s="1083"/>
      <c r="I28" s="1083"/>
      <c r="J28" s="1083"/>
      <c r="K28" s="1083"/>
      <c r="L28" s="1083"/>
      <c r="M28" s="1083"/>
      <c r="N28" s="1083"/>
      <c r="O28" s="1083"/>
      <c r="P28" s="1083"/>
      <c r="Q28" s="1083"/>
      <c r="R28" s="1083"/>
      <c r="S28" s="1083"/>
      <c r="T28" s="1083"/>
      <c r="U28" s="1083"/>
      <c r="V28" s="1083"/>
      <c r="W28" s="1083"/>
      <c r="X28" s="1083"/>
      <c r="Y28" s="1083"/>
      <c r="Z28" s="1083"/>
      <c r="AA28" s="1084"/>
      <c r="AB28" s="1085" t="str">
        <f>IF(AP6=0,"",IF(W4Calc!L38&gt;=1,"X",""))</f>
        <v/>
      </c>
      <c r="AC28" s="1086"/>
      <c r="AD28" s="905" t="str">
        <f t="shared" si="0"/>
        <v/>
      </c>
      <c r="AE28" s="1087"/>
      <c r="AF28" s="929"/>
      <c r="AG28" s="930"/>
      <c r="AH28" s="931"/>
      <c r="AI28" s="932"/>
      <c r="AJ28" s="45"/>
      <c r="AK28" s="49"/>
      <c r="AN28" s="490"/>
      <c r="AO28" s="18"/>
      <c r="AP28" s="18">
        <f t="shared" si="1"/>
        <v>0</v>
      </c>
      <c r="AQ28" s="18"/>
      <c r="AR28" s="18"/>
    </row>
    <row r="29" spans="1:44" ht="12" customHeight="1" thickTop="1">
      <c r="A29" s="48"/>
      <c r="B29" s="45"/>
      <c r="C29" s="215"/>
      <c r="D29" s="215"/>
      <c r="E29" s="215"/>
      <c r="F29" s="215"/>
      <c r="G29" s="215"/>
      <c r="H29" s="215"/>
      <c r="I29" s="215"/>
      <c r="J29" s="215"/>
      <c r="K29" s="215"/>
      <c r="L29" s="215"/>
      <c r="M29" s="215"/>
      <c r="N29" s="215"/>
      <c r="O29" s="215"/>
      <c r="P29" s="215"/>
      <c r="Q29" s="215"/>
      <c r="R29" s="215"/>
      <c r="S29" s="215"/>
      <c r="T29" s="215"/>
      <c r="U29" s="215"/>
      <c r="V29" s="215"/>
      <c r="W29" s="215"/>
      <c r="X29" s="215"/>
      <c r="Y29" s="215"/>
      <c r="Z29" s="215"/>
      <c r="AA29" s="215"/>
      <c r="AB29" s="215"/>
      <c r="AC29" s="215"/>
      <c r="AD29" s="215"/>
      <c r="AE29" s="215"/>
      <c r="AF29" s="215"/>
      <c r="AG29" s="215"/>
      <c r="AH29" s="215"/>
      <c r="AI29" s="215"/>
      <c r="AJ29" s="45"/>
      <c r="AK29" s="49"/>
      <c r="AN29" s="18"/>
      <c r="AO29" s="18"/>
      <c r="AP29" s="18"/>
      <c r="AQ29" s="18"/>
      <c r="AR29" s="18"/>
    </row>
    <row r="30" spans="1:44" ht="6" customHeight="1">
      <c r="A30" s="48"/>
      <c r="B30" s="176"/>
      <c r="C30" s="176"/>
      <c r="D30" s="176"/>
      <c r="E30" s="176"/>
      <c r="F30" s="176"/>
      <c r="G30" s="176"/>
      <c r="H30" s="176"/>
      <c r="I30" s="176"/>
      <c r="J30" s="176"/>
      <c r="K30" s="176"/>
      <c r="L30" s="176"/>
      <c r="M30" s="176"/>
      <c r="N30" s="176"/>
      <c r="O30" s="176"/>
      <c r="P30" s="176"/>
      <c r="Q30" s="176"/>
      <c r="R30" s="176"/>
      <c r="S30" s="176"/>
      <c r="T30" s="176"/>
      <c r="U30" s="176"/>
      <c r="V30" s="176"/>
      <c r="W30" s="176"/>
      <c r="X30" s="176"/>
      <c r="Y30" s="176"/>
      <c r="Z30" s="176"/>
      <c r="AA30" s="176"/>
      <c r="AB30" s="176"/>
      <c r="AC30" s="176"/>
      <c r="AD30" s="176"/>
      <c r="AE30" s="176"/>
      <c r="AF30" s="176"/>
      <c r="AG30" s="176"/>
      <c r="AH30" s="176"/>
      <c r="AI30" s="176"/>
      <c r="AJ30" s="176"/>
      <c r="AK30" s="49"/>
      <c r="AN30" s="18"/>
      <c r="AO30" s="18"/>
      <c r="AP30" s="18"/>
      <c r="AQ30" s="18"/>
      <c r="AR30" s="18"/>
    </row>
    <row r="31" spans="1:44" ht="6" customHeight="1">
      <c r="A31" s="48"/>
      <c r="B31" s="170"/>
      <c r="C31" s="170"/>
      <c r="D31" s="170"/>
      <c r="E31" s="170"/>
      <c r="F31" s="170"/>
      <c r="G31" s="170"/>
      <c r="H31" s="170"/>
      <c r="I31" s="170"/>
      <c r="J31" s="170"/>
      <c r="K31" s="170"/>
      <c r="L31" s="170"/>
      <c r="M31" s="170"/>
      <c r="N31" s="170"/>
      <c r="O31" s="170"/>
      <c r="P31" s="170"/>
      <c r="Q31" s="170"/>
      <c r="R31" s="170"/>
      <c r="S31" s="170"/>
      <c r="T31" s="170"/>
      <c r="U31" s="170"/>
      <c r="V31" s="170"/>
      <c r="W31" s="170"/>
      <c r="X31" s="170"/>
      <c r="Y31" s="170"/>
      <c r="Z31" s="170"/>
      <c r="AA31" s="170"/>
      <c r="AB31" s="170"/>
      <c r="AC31" s="170"/>
      <c r="AD31" s="170"/>
      <c r="AE31" s="170"/>
      <c r="AF31" s="170"/>
      <c r="AG31" s="170"/>
      <c r="AH31" s="170"/>
      <c r="AI31" s="170"/>
      <c r="AJ31" s="170"/>
      <c r="AK31" s="49"/>
      <c r="AN31" s="18"/>
      <c r="AO31" s="18"/>
      <c r="AP31" s="18"/>
      <c r="AQ31" s="18"/>
      <c r="AR31" s="18"/>
    </row>
    <row r="32" spans="1:44" ht="14.1" customHeight="1">
      <c r="A32" s="48"/>
      <c r="B32" s="209"/>
      <c r="C32" s="206" t="s">
        <v>175</v>
      </c>
      <c r="D32" s="170"/>
      <c r="E32" s="170"/>
      <c r="F32" s="170"/>
      <c r="G32" s="170"/>
      <c r="H32" s="170"/>
      <c r="I32" s="170"/>
      <c r="J32" s="170"/>
      <c r="K32" s="170"/>
      <c r="L32" s="170"/>
      <c r="M32" s="170"/>
      <c r="N32" s="170"/>
      <c r="O32" s="170"/>
      <c r="P32" s="170"/>
      <c r="Q32" s="170"/>
      <c r="R32" s="170"/>
      <c r="S32" s="170"/>
      <c r="T32" s="170"/>
      <c r="U32" s="170"/>
      <c r="V32" s="170"/>
      <c r="W32" s="170"/>
      <c r="X32" s="170"/>
      <c r="Y32" s="170"/>
      <c r="Z32" s="170"/>
      <c r="AA32" s="170"/>
      <c r="AB32" s="175" t="s">
        <v>37</v>
      </c>
      <c r="AC32" s="170"/>
      <c r="AD32" s="213" t="str">
        <f>IF(AP6=0,"",IF(AN32=1,"X",""))</f>
        <v/>
      </c>
      <c r="AE32" s="172" t="s">
        <v>27</v>
      </c>
      <c r="AF32" s="172"/>
      <c r="AG32" s="213" t="str">
        <f>IF(AP6=0,"",IF(AN32=0,"X",""))</f>
        <v/>
      </c>
      <c r="AH32" s="172" t="s">
        <v>28</v>
      </c>
      <c r="AI32" s="170"/>
      <c r="AJ32" s="170"/>
      <c r="AK32" s="49"/>
      <c r="AN32" s="245">
        <f>AN40*AN57</f>
        <v>0</v>
      </c>
      <c r="AO32" s="18"/>
      <c r="AP32" s="18"/>
      <c r="AQ32" s="18"/>
      <c r="AR32" s="18"/>
    </row>
    <row r="33" spans="1:44" ht="12" customHeight="1">
      <c r="A33" s="48"/>
      <c r="B33" s="45"/>
      <c r="C33" s="215"/>
      <c r="D33" s="215"/>
      <c r="E33" s="215"/>
      <c r="F33" s="215"/>
      <c r="G33" s="215"/>
      <c r="H33" s="215"/>
      <c r="I33" s="215"/>
      <c r="J33" s="215"/>
      <c r="K33" s="215"/>
      <c r="L33" s="215"/>
      <c r="M33" s="215"/>
      <c r="N33" s="215"/>
      <c r="O33" s="215"/>
      <c r="P33" s="215"/>
      <c r="Q33" s="215"/>
      <c r="R33" s="215"/>
      <c r="S33" s="215"/>
      <c r="T33" s="215"/>
      <c r="U33" s="215"/>
      <c r="V33" s="215"/>
      <c r="W33" s="215"/>
      <c r="X33" s="215"/>
      <c r="Y33" s="215"/>
      <c r="Z33" s="215"/>
      <c r="AA33" s="215"/>
      <c r="AB33" s="215"/>
      <c r="AC33" s="215"/>
      <c r="AD33" s="215"/>
      <c r="AE33" s="215"/>
      <c r="AF33" s="215"/>
      <c r="AG33" s="215"/>
      <c r="AH33" s="215"/>
      <c r="AI33" s="215"/>
      <c r="AJ33" s="45"/>
      <c r="AK33" s="49"/>
      <c r="AN33" s="18"/>
      <c r="AO33" s="18"/>
      <c r="AP33" s="18"/>
      <c r="AQ33" s="18"/>
      <c r="AR33" s="18"/>
    </row>
    <row r="34" spans="1:44" ht="12" customHeight="1">
      <c r="A34" s="48"/>
      <c r="B34" s="45"/>
      <c r="C34" s="866" t="s">
        <v>176</v>
      </c>
      <c r="D34" s="866"/>
      <c r="E34" s="866"/>
      <c r="F34" s="866"/>
      <c r="G34" s="866"/>
      <c r="H34" s="866"/>
      <c r="I34" s="866"/>
      <c r="J34" s="866"/>
      <c r="K34" s="866"/>
      <c r="L34" s="866"/>
      <c r="M34" s="866"/>
      <c r="N34" s="866"/>
      <c r="O34" s="866"/>
      <c r="P34" s="866"/>
      <c r="Q34" s="866"/>
      <c r="R34" s="866"/>
      <c r="S34" s="866"/>
      <c r="T34" s="866"/>
      <c r="U34" s="866"/>
      <c r="V34" s="866"/>
      <c r="W34" s="866"/>
      <c r="X34" s="866"/>
      <c r="Y34" s="866"/>
      <c r="Z34" s="866"/>
      <c r="AA34" s="866"/>
      <c r="AB34" s="866"/>
      <c r="AC34" s="866"/>
      <c r="AD34" s="866"/>
      <c r="AE34" s="866"/>
      <c r="AF34" s="866"/>
      <c r="AG34" s="866"/>
      <c r="AH34" s="866"/>
      <c r="AI34" s="215"/>
      <c r="AJ34" s="45"/>
      <c r="AK34" s="49"/>
      <c r="AN34" s="18"/>
      <c r="AO34" s="18"/>
      <c r="AP34" s="18"/>
      <c r="AQ34" s="18"/>
      <c r="AR34" s="18"/>
    </row>
    <row r="35" spans="1:44" ht="12" customHeight="1">
      <c r="A35" s="48"/>
      <c r="B35" s="45"/>
      <c r="C35" s="866"/>
      <c r="D35" s="866"/>
      <c r="E35" s="866"/>
      <c r="F35" s="866"/>
      <c r="G35" s="866"/>
      <c r="H35" s="866"/>
      <c r="I35" s="866"/>
      <c r="J35" s="866"/>
      <c r="K35" s="866"/>
      <c r="L35" s="866"/>
      <c r="M35" s="866"/>
      <c r="N35" s="866"/>
      <c r="O35" s="866"/>
      <c r="P35" s="866"/>
      <c r="Q35" s="866"/>
      <c r="R35" s="866"/>
      <c r="S35" s="866"/>
      <c r="T35" s="866"/>
      <c r="U35" s="866"/>
      <c r="V35" s="866"/>
      <c r="W35" s="866"/>
      <c r="X35" s="866"/>
      <c r="Y35" s="866"/>
      <c r="Z35" s="866"/>
      <c r="AA35" s="866"/>
      <c r="AB35" s="866"/>
      <c r="AC35" s="866"/>
      <c r="AD35" s="866"/>
      <c r="AE35" s="866"/>
      <c r="AF35" s="866"/>
      <c r="AG35" s="866"/>
      <c r="AH35" s="866"/>
      <c r="AI35" s="215"/>
      <c r="AJ35" s="45"/>
      <c r="AK35" s="49"/>
      <c r="AN35" s="18"/>
      <c r="AO35" s="18"/>
      <c r="AP35" s="18"/>
      <c r="AQ35" s="18"/>
      <c r="AR35" s="18"/>
    </row>
    <row r="36" spans="1:44" ht="12" customHeight="1">
      <c r="A36" s="48"/>
      <c r="B36" s="45"/>
      <c r="C36" s="866"/>
      <c r="D36" s="866"/>
      <c r="E36" s="866"/>
      <c r="F36" s="866"/>
      <c r="G36" s="866"/>
      <c r="H36" s="866"/>
      <c r="I36" s="866"/>
      <c r="J36" s="866"/>
      <c r="K36" s="866"/>
      <c r="L36" s="866"/>
      <c r="M36" s="866"/>
      <c r="N36" s="866"/>
      <c r="O36" s="866"/>
      <c r="P36" s="866"/>
      <c r="Q36" s="866"/>
      <c r="R36" s="866"/>
      <c r="S36" s="866"/>
      <c r="T36" s="866"/>
      <c r="U36" s="866"/>
      <c r="V36" s="866"/>
      <c r="W36" s="866"/>
      <c r="X36" s="866"/>
      <c r="Y36" s="866"/>
      <c r="Z36" s="866"/>
      <c r="AA36" s="866"/>
      <c r="AB36" s="866"/>
      <c r="AC36" s="866"/>
      <c r="AD36" s="866"/>
      <c r="AE36" s="866"/>
      <c r="AF36" s="866"/>
      <c r="AG36" s="866"/>
      <c r="AH36" s="866"/>
      <c r="AI36" s="215"/>
      <c r="AJ36" s="45"/>
      <c r="AK36" s="49"/>
      <c r="AN36" s="18"/>
      <c r="AO36" s="18"/>
      <c r="AP36" s="18"/>
      <c r="AQ36" s="18"/>
      <c r="AR36" s="18"/>
    </row>
    <row r="37" spans="1:44" ht="12" customHeight="1" thickBot="1">
      <c r="A37" s="48"/>
      <c r="B37" s="45"/>
      <c r="C37" s="215"/>
      <c r="D37" s="215"/>
      <c r="E37" s="215"/>
      <c r="F37" s="215"/>
      <c r="G37" s="215"/>
      <c r="H37" s="215"/>
      <c r="I37" s="215"/>
      <c r="J37" s="215"/>
      <c r="K37" s="215"/>
      <c r="L37" s="215"/>
      <c r="M37" s="215"/>
      <c r="N37" s="215"/>
      <c r="O37" s="215"/>
      <c r="P37" s="215"/>
      <c r="Q37" s="215"/>
      <c r="R37" s="215"/>
      <c r="S37" s="215"/>
      <c r="T37" s="215"/>
      <c r="U37" s="215"/>
      <c r="V37" s="215"/>
      <c r="W37" s="215"/>
      <c r="X37" s="215"/>
      <c r="Y37" s="215"/>
      <c r="Z37" s="215"/>
      <c r="AA37" s="215"/>
      <c r="AB37" s="215"/>
      <c r="AC37" s="215"/>
      <c r="AD37" s="215"/>
      <c r="AE37" s="215"/>
      <c r="AF37" s="215"/>
      <c r="AG37" s="215"/>
      <c r="AH37" s="215"/>
      <c r="AI37" s="215"/>
      <c r="AJ37" s="45"/>
      <c r="AK37" s="49"/>
      <c r="AN37" s="18"/>
      <c r="AO37" s="18"/>
      <c r="AP37" s="18"/>
      <c r="AQ37" s="18"/>
      <c r="AR37" s="18"/>
    </row>
    <row r="38" spans="1:44" ht="12" customHeight="1" thickTop="1">
      <c r="A38" s="48"/>
      <c r="B38" s="45"/>
      <c r="C38" s="889" t="s">
        <v>162</v>
      </c>
      <c r="D38" s="819"/>
      <c r="E38" s="819"/>
      <c r="F38" s="819"/>
      <c r="G38" s="819"/>
      <c r="H38" s="819"/>
      <c r="I38" s="819"/>
      <c r="J38" s="819"/>
      <c r="K38" s="819"/>
      <c r="L38" s="819"/>
      <c r="M38" s="819"/>
      <c r="N38" s="819"/>
      <c r="O38" s="819"/>
      <c r="P38" s="819"/>
      <c r="Q38" s="819"/>
      <c r="R38" s="819"/>
      <c r="S38" s="819"/>
      <c r="T38" s="819"/>
      <c r="U38" s="819"/>
      <c r="V38" s="819"/>
      <c r="W38" s="819"/>
      <c r="X38" s="819"/>
      <c r="Y38" s="819"/>
      <c r="Z38" s="819"/>
      <c r="AA38" s="890"/>
      <c r="AB38" s="1045" t="s">
        <v>168</v>
      </c>
      <c r="AC38" s="1046"/>
      <c r="AD38" s="1046"/>
      <c r="AE38" s="1047"/>
      <c r="AF38" s="1074" t="s">
        <v>145</v>
      </c>
      <c r="AG38" s="1075"/>
      <c r="AH38" s="1075"/>
      <c r="AI38" s="1076"/>
      <c r="AJ38" s="45"/>
      <c r="AK38" s="49"/>
      <c r="AN38" s="18"/>
      <c r="AO38" s="18"/>
      <c r="AP38" s="18"/>
      <c r="AQ38" s="18"/>
      <c r="AR38" s="18"/>
    </row>
    <row r="39" spans="1:44" ht="12" customHeight="1" thickBot="1">
      <c r="A39" s="48"/>
      <c r="B39" s="45"/>
      <c r="C39" s="891"/>
      <c r="D39" s="825"/>
      <c r="E39" s="825"/>
      <c r="F39" s="825"/>
      <c r="G39" s="825"/>
      <c r="H39" s="825"/>
      <c r="I39" s="825"/>
      <c r="J39" s="825"/>
      <c r="K39" s="825"/>
      <c r="L39" s="825"/>
      <c r="M39" s="825"/>
      <c r="N39" s="825"/>
      <c r="O39" s="825"/>
      <c r="P39" s="825"/>
      <c r="Q39" s="825"/>
      <c r="R39" s="825"/>
      <c r="S39" s="825"/>
      <c r="T39" s="825"/>
      <c r="U39" s="825"/>
      <c r="V39" s="825"/>
      <c r="W39" s="825"/>
      <c r="X39" s="825"/>
      <c r="Y39" s="825"/>
      <c r="Z39" s="825"/>
      <c r="AA39" s="892"/>
      <c r="AB39" s="896" t="s">
        <v>27</v>
      </c>
      <c r="AC39" s="897"/>
      <c r="AD39" s="897" t="s">
        <v>28</v>
      </c>
      <c r="AE39" s="993"/>
      <c r="AF39" s="896" t="s">
        <v>27</v>
      </c>
      <c r="AG39" s="897"/>
      <c r="AH39" s="897" t="s">
        <v>28</v>
      </c>
      <c r="AI39" s="898"/>
      <c r="AJ39" s="45"/>
      <c r="AK39" s="49"/>
      <c r="AN39" s="18"/>
      <c r="AO39" s="18"/>
      <c r="AP39" s="18"/>
      <c r="AQ39" s="18"/>
      <c r="AR39" s="18"/>
    </row>
    <row r="40" spans="1:44" ht="12" customHeight="1">
      <c r="A40" s="48"/>
      <c r="B40" s="45"/>
      <c r="C40" s="233" t="s">
        <v>156</v>
      </c>
      <c r="D40" s="864" t="s">
        <v>251</v>
      </c>
      <c r="E40" s="864"/>
      <c r="F40" s="864"/>
      <c r="G40" s="865"/>
      <c r="H40" s="237" t="s">
        <v>177</v>
      </c>
      <c r="I40" s="994" t="s">
        <v>249</v>
      </c>
      <c r="J40" s="994"/>
      <c r="K40" s="994"/>
      <c r="L40" s="994"/>
      <c r="M40" s="994"/>
      <c r="N40" s="994"/>
      <c r="O40" s="994"/>
      <c r="P40" s="994"/>
      <c r="Q40" s="994"/>
      <c r="R40" s="994"/>
      <c r="S40" s="994"/>
      <c r="T40" s="994"/>
      <c r="U40" s="994"/>
      <c r="V40" s="994"/>
      <c r="W40" s="994"/>
      <c r="X40" s="994"/>
      <c r="Y40" s="1053" t="s">
        <v>250</v>
      </c>
      <c r="Z40" s="1054"/>
      <c r="AA40" s="1055"/>
      <c r="AB40" s="1036" t="str">
        <f>IF(AP6=0,"",IF(Y41&gt;=1000,"X",""))</f>
        <v/>
      </c>
      <c r="AC40" s="1037"/>
      <c r="AD40" s="970" t="str">
        <f>IF(AP6=0,"",IF(AB40="X","","X"))</f>
        <v/>
      </c>
      <c r="AE40" s="1042"/>
      <c r="AF40" s="1000" t="str">
        <f>IF(AP6=0,"",IF(AP40=1,"X",""))</f>
        <v/>
      </c>
      <c r="AG40" s="970"/>
      <c r="AH40" s="970" t="str">
        <f>IF(AP6=0,"",IF(AP40=0,"X",""))</f>
        <v/>
      </c>
      <c r="AI40" s="971"/>
      <c r="AJ40" s="45"/>
      <c r="AK40" s="49"/>
      <c r="AN40" s="490">
        <f>IF(AP40=1,1,IF(AP46=1,1,0))</f>
        <v>0</v>
      </c>
      <c r="AO40" s="18"/>
      <c r="AP40" s="490">
        <f>IF(AB40="X",IF(AB43="X",1,0),0)</f>
        <v>0</v>
      </c>
      <c r="AQ40" s="18"/>
      <c r="AR40" s="18"/>
    </row>
    <row r="41" spans="1:44" ht="12" customHeight="1">
      <c r="A41" s="48"/>
      <c r="B41" s="45"/>
      <c r="C41" s="232"/>
      <c r="D41" s="866"/>
      <c r="E41" s="866"/>
      <c r="F41" s="866"/>
      <c r="G41" s="867"/>
      <c r="H41" s="236"/>
      <c r="I41" s="996"/>
      <c r="J41" s="996"/>
      <c r="K41" s="996"/>
      <c r="L41" s="996"/>
      <c r="M41" s="996"/>
      <c r="N41" s="996"/>
      <c r="O41" s="996"/>
      <c r="P41" s="996"/>
      <c r="Q41" s="996"/>
      <c r="R41" s="996"/>
      <c r="S41" s="996"/>
      <c r="T41" s="996"/>
      <c r="U41" s="996"/>
      <c r="V41" s="996"/>
      <c r="W41" s="996"/>
      <c r="X41" s="996"/>
      <c r="Y41" s="1056"/>
      <c r="Z41" s="1057"/>
      <c r="AA41" s="1058"/>
      <c r="AB41" s="1038"/>
      <c r="AC41" s="1039"/>
      <c r="AD41" s="949"/>
      <c r="AE41" s="1029"/>
      <c r="AF41" s="948"/>
      <c r="AG41" s="949"/>
      <c r="AH41" s="949"/>
      <c r="AI41" s="950"/>
      <c r="AJ41" s="45"/>
      <c r="AK41" s="49"/>
      <c r="AN41" s="490"/>
      <c r="AO41" s="18"/>
      <c r="AP41" s="490"/>
      <c r="AQ41" s="18"/>
      <c r="AR41" s="18"/>
    </row>
    <row r="42" spans="1:44" ht="12" customHeight="1">
      <c r="A42" s="48"/>
      <c r="B42" s="45"/>
      <c r="C42" s="216"/>
      <c r="D42" s="866"/>
      <c r="E42" s="866"/>
      <c r="F42" s="866"/>
      <c r="G42" s="867"/>
      <c r="H42" s="238"/>
      <c r="I42" s="1052"/>
      <c r="J42" s="1052"/>
      <c r="K42" s="1052"/>
      <c r="L42" s="1052"/>
      <c r="M42" s="1052"/>
      <c r="N42" s="1052"/>
      <c r="O42" s="1052"/>
      <c r="P42" s="1052"/>
      <c r="Q42" s="1052"/>
      <c r="R42" s="1052"/>
      <c r="S42" s="1052"/>
      <c r="T42" s="1052"/>
      <c r="U42" s="1052"/>
      <c r="V42" s="1052"/>
      <c r="W42" s="1052"/>
      <c r="X42" s="1052"/>
      <c r="Y42" s="1059"/>
      <c r="Z42" s="1060"/>
      <c r="AA42" s="1061"/>
      <c r="AB42" s="1040"/>
      <c r="AC42" s="1041"/>
      <c r="AD42" s="1043"/>
      <c r="AE42" s="1044"/>
      <c r="AF42" s="948"/>
      <c r="AG42" s="949"/>
      <c r="AH42" s="949"/>
      <c r="AI42" s="950"/>
      <c r="AJ42" s="45"/>
      <c r="AK42" s="49"/>
      <c r="AN42" s="490"/>
      <c r="AO42" s="18"/>
      <c r="AP42" s="490"/>
      <c r="AQ42" s="18"/>
      <c r="AR42" s="18"/>
    </row>
    <row r="43" spans="1:44" ht="12" customHeight="1">
      <c r="A43" s="48"/>
      <c r="B43" s="45"/>
      <c r="C43" s="216"/>
      <c r="D43" s="866"/>
      <c r="E43" s="866"/>
      <c r="F43" s="866"/>
      <c r="G43" s="867"/>
      <c r="H43" s="236" t="s">
        <v>178</v>
      </c>
      <c r="I43" s="1030" t="s">
        <v>253</v>
      </c>
      <c r="J43" s="1030"/>
      <c r="K43" s="1030"/>
      <c r="L43" s="1030"/>
      <c r="M43" s="1030"/>
      <c r="N43" s="1030"/>
      <c r="O43" s="1030"/>
      <c r="P43" s="1030"/>
      <c r="Q43" s="1030"/>
      <c r="R43" s="1030"/>
      <c r="S43" s="1030"/>
      <c r="T43" s="1030"/>
      <c r="U43" s="1030"/>
      <c r="V43" s="1030"/>
      <c r="W43" s="1030"/>
      <c r="X43" s="1030"/>
      <c r="Y43" s="1030"/>
      <c r="Z43" s="1030"/>
      <c r="AA43" s="1031"/>
      <c r="AB43" s="1025"/>
      <c r="AC43" s="1026"/>
      <c r="AD43" s="949" t="str">
        <f>IF(AP6=0,"",IF(AB43="X","","X"))</f>
        <v/>
      </c>
      <c r="AE43" s="1029"/>
      <c r="AF43" s="948"/>
      <c r="AG43" s="949"/>
      <c r="AH43" s="949"/>
      <c r="AI43" s="950"/>
      <c r="AJ43" s="45"/>
      <c r="AK43" s="49"/>
      <c r="AN43" s="490"/>
      <c r="AO43" s="18"/>
      <c r="AP43" s="490"/>
      <c r="AQ43" s="18"/>
      <c r="AR43" s="18"/>
    </row>
    <row r="44" spans="1:44" ht="12" customHeight="1">
      <c r="A44" s="48"/>
      <c r="B44" s="45"/>
      <c r="C44" s="216"/>
      <c r="D44" s="866"/>
      <c r="E44" s="866"/>
      <c r="F44" s="866"/>
      <c r="G44" s="867"/>
      <c r="H44" s="236"/>
      <c r="I44" s="1032"/>
      <c r="J44" s="1032"/>
      <c r="K44" s="1032"/>
      <c r="L44" s="1032"/>
      <c r="M44" s="1032"/>
      <c r="N44" s="1032"/>
      <c r="O44" s="1032"/>
      <c r="P44" s="1032"/>
      <c r="Q44" s="1032"/>
      <c r="R44" s="1032"/>
      <c r="S44" s="1032"/>
      <c r="T44" s="1032"/>
      <c r="U44" s="1032"/>
      <c r="V44" s="1032"/>
      <c r="W44" s="1032"/>
      <c r="X44" s="1032"/>
      <c r="Y44" s="1032"/>
      <c r="Z44" s="1032"/>
      <c r="AA44" s="1033"/>
      <c r="AB44" s="1025"/>
      <c r="AC44" s="1026"/>
      <c r="AD44" s="949"/>
      <c r="AE44" s="1029"/>
      <c r="AF44" s="948"/>
      <c r="AG44" s="949"/>
      <c r="AH44" s="949"/>
      <c r="AI44" s="950"/>
      <c r="AJ44" s="45"/>
      <c r="AK44" s="49"/>
      <c r="AN44" s="490"/>
      <c r="AO44" s="18"/>
      <c r="AP44" s="490"/>
      <c r="AQ44" s="18"/>
      <c r="AR44" s="18"/>
    </row>
    <row r="45" spans="1:44" ht="12" customHeight="1" thickBot="1">
      <c r="A45" s="48"/>
      <c r="B45" s="45"/>
      <c r="C45" s="218"/>
      <c r="D45" s="868"/>
      <c r="E45" s="868"/>
      <c r="F45" s="868"/>
      <c r="G45" s="869"/>
      <c r="H45" s="231"/>
      <c r="I45" s="1034"/>
      <c r="J45" s="1034"/>
      <c r="K45" s="1034"/>
      <c r="L45" s="1034"/>
      <c r="M45" s="1034"/>
      <c r="N45" s="1034"/>
      <c r="O45" s="1034"/>
      <c r="P45" s="1034"/>
      <c r="Q45" s="1034"/>
      <c r="R45" s="1034"/>
      <c r="S45" s="1034"/>
      <c r="T45" s="1034"/>
      <c r="U45" s="1034"/>
      <c r="V45" s="1034"/>
      <c r="W45" s="1034"/>
      <c r="X45" s="1034"/>
      <c r="Y45" s="1034"/>
      <c r="Z45" s="1034"/>
      <c r="AA45" s="1035"/>
      <c r="AB45" s="1027"/>
      <c r="AC45" s="1028"/>
      <c r="AD45" s="897"/>
      <c r="AE45" s="993"/>
      <c r="AF45" s="896"/>
      <c r="AG45" s="897"/>
      <c r="AH45" s="897"/>
      <c r="AI45" s="898"/>
      <c r="AJ45" s="45"/>
      <c r="AK45" s="49"/>
      <c r="AN45" s="490"/>
      <c r="AO45" s="18"/>
      <c r="AP45" s="490"/>
      <c r="AQ45" s="18"/>
      <c r="AR45" s="18"/>
    </row>
    <row r="46" spans="1:44" ht="12" customHeight="1">
      <c r="A46" s="48"/>
      <c r="B46" s="45"/>
      <c r="C46" s="233" t="s">
        <v>157</v>
      </c>
      <c r="D46" s="994" t="s">
        <v>252</v>
      </c>
      <c r="E46" s="994"/>
      <c r="F46" s="994"/>
      <c r="G46" s="994"/>
      <c r="H46" s="994"/>
      <c r="I46" s="994"/>
      <c r="J46" s="994"/>
      <c r="K46" s="994"/>
      <c r="L46" s="995"/>
      <c r="M46" s="1002"/>
      <c r="N46" s="1002"/>
      <c r="O46" s="1002"/>
      <c r="P46" s="1002"/>
      <c r="Q46" s="1002"/>
      <c r="R46" s="1002"/>
      <c r="S46" s="1002"/>
      <c r="T46" s="1002"/>
      <c r="U46" s="1002"/>
      <c r="V46" s="1002"/>
      <c r="W46" s="1002"/>
      <c r="X46" s="1002"/>
      <c r="Y46" s="1002"/>
      <c r="Z46" s="1002"/>
      <c r="AA46" s="1019"/>
      <c r="AB46" s="1014" t="s">
        <v>179</v>
      </c>
      <c r="AC46" s="1014"/>
      <c r="AD46" s="1014"/>
      <c r="AE46" s="1014"/>
      <c r="AF46" s="1000" t="str">
        <f>IF(AP6=0,"",IF(AP46=1,"X",""))</f>
        <v/>
      </c>
      <c r="AG46" s="970"/>
      <c r="AH46" s="970" t="str">
        <f>IF(AP6=0,"",IF(AP46=0,"X",""))</f>
        <v/>
      </c>
      <c r="AI46" s="971"/>
      <c r="AJ46" s="45"/>
      <c r="AK46" s="49"/>
      <c r="AN46" s="490"/>
      <c r="AO46" s="18"/>
      <c r="AP46" s="490">
        <f>IF(AR49=5,1,0)</f>
        <v>0</v>
      </c>
      <c r="AQ46" s="18"/>
      <c r="AR46" s="18"/>
    </row>
    <row r="47" spans="1:44" ht="12" customHeight="1">
      <c r="A47" s="48"/>
      <c r="B47" s="45"/>
      <c r="C47" s="232"/>
      <c r="D47" s="996"/>
      <c r="E47" s="996"/>
      <c r="F47" s="996"/>
      <c r="G47" s="996"/>
      <c r="H47" s="996"/>
      <c r="I47" s="996"/>
      <c r="J47" s="996"/>
      <c r="K47" s="996"/>
      <c r="L47" s="997"/>
      <c r="M47" s="1003"/>
      <c r="N47" s="1003"/>
      <c r="O47" s="1003"/>
      <c r="P47" s="1003"/>
      <c r="Q47" s="1003"/>
      <c r="R47" s="1003"/>
      <c r="S47" s="1003"/>
      <c r="T47" s="1003"/>
      <c r="U47" s="1003"/>
      <c r="V47" s="1003"/>
      <c r="W47" s="1003"/>
      <c r="X47" s="1003"/>
      <c r="Y47" s="1003"/>
      <c r="Z47" s="1003"/>
      <c r="AA47" s="1020"/>
      <c r="AB47" s="1015"/>
      <c r="AC47" s="1015"/>
      <c r="AD47" s="1015"/>
      <c r="AE47" s="1015"/>
      <c r="AF47" s="948"/>
      <c r="AG47" s="949"/>
      <c r="AH47" s="949"/>
      <c r="AI47" s="950"/>
      <c r="AJ47" s="45"/>
      <c r="AK47" s="49"/>
      <c r="AN47" s="490"/>
      <c r="AO47" s="18"/>
      <c r="AP47" s="490"/>
      <c r="AQ47" s="18"/>
      <c r="AR47" s="18"/>
    </row>
    <row r="48" spans="1:44" ht="12" customHeight="1">
      <c r="A48" s="48"/>
      <c r="B48" s="45"/>
      <c r="C48" s="216"/>
      <c r="D48" s="996"/>
      <c r="E48" s="996"/>
      <c r="F48" s="996"/>
      <c r="G48" s="996"/>
      <c r="H48" s="996"/>
      <c r="I48" s="996"/>
      <c r="J48" s="996"/>
      <c r="K48" s="996"/>
      <c r="L48" s="997"/>
      <c r="M48" s="1004"/>
      <c r="N48" s="1004"/>
      <c r="O48" s="1004"/>
      <c r="P48" s="1004"/>
      <c r="Q48" s="1004"/>
      <c r="R48" s="1004"/>
      <c r="S48" s="1004"/>
      <c r="T48" s="1004"/>
      <c r="U48" s="1004"/>
      <c r="V48" s="1004"/>
      <c r="W48" s="1004"/>
      <c r="X48" s="1004"/>
      <c r="Y48" s="1004"/>
      <c r="Z48" s="1004"/>
      <c r="AA48" s="1021"/>
      <c r="AB48" s="1016"/>
      <c r="AC48" s="1016"/>
      <c r="AD48" s="1016"/>
      <c r="AE48" s="1016"/>
      <c r="AF48" s="948"/>
      <c r="AG48" s="949"/>
      <c r="AH48" s="949"/>
      <c r="AI48" s="950"/>
      <c r="AJ48" s="45"/>
      <c r="AK48" s="49"/>
      <c r="AN48" s="490"/>
      <c r="AO48" s="18"/>
      <c r="AP48" s="490"/>
      <c r="AQ48" s="18"/>
      <c r="AR48" s="18"/>
    </row>
    <row r="49" spans="1:44" ht="12" customHeight="1">
      <c r="A49" s="48"/>
      <c r="B49" s="45"/>
      <c r="C49" s="180"/>
      <c r="D49" s="996"/>
      <c r="E49" s="996"/>
      <c r="F49" s="996"/>
      <c r="G49" s="996"/>
      <c r="H49" s="996"/>
      <c r="I49" s="996"/>
      <c r="J49" s="996"/>
      <c r="K49" s="996"/>
      <c r="L49" s="997"/>
      <c r="M49" s="1005"/>
      <c r="N49" s="1006"/>
      <c r="O49" s="1007"/>
      <c r="P49" s="1005"/>
      <c r="Q49" s="1006"/>
      <c r="R49" s="1007"/>
      <c r="S49" s="1005"/>
      <c r="T49" s="1006"/>
      <c r="U49" s="1007"/>
      <c r="V49" s="1005"/>
      <c r="W49" s="1006"/>
      <c r="X49" s="1007"/>
      <c r="Y49" s="1005"/>
      <c r="Z49" s="1006"/>
      <c r="AA49" s="1022"/>
      <c r="AB49" s="1016" t="s">
        <v>180</v>
      </c>
      <c r="AC49" s="1016"/>
      <c r="AD49" s="1016"/>
      <c r="AE49" s="1016"/>
      <c r="AF49" s="948"/>
      <c r="AG49" s="949"/>
      <c r="AH49" s="949"/>
      <c r="AI49" s="950"/>
      <c r="AJ49" s="45"/>
      <c r="AK49" s="49"/>
      <c r="AN49" s="490"/>
      <c r="AO49" s="18"/>
      <c r="AP49" s="490"/>
      <c r="AQ49" s="18"/>
      <c r="AR49" s="858">
        <f>COUNTIF(M49:AA51,"&gt;=1000")</f>
        <v>0</v>
      </c>
    </row>
    <row r="50" spans="1:44" ht="12" customHeight="1">
      <c r="A50" s="48"/>
      <c r="B50" s="45"/>
      <c r="C50" s="180"/>
      <c r="D50" s="996"/>
      <c r="E50" s="996"/>
      <c r="F50" s="996"/>
      <c r="G50" s="996"/>
      <c r="H50" s="996"/>
      <c r="I50" s="996"/>
      <c r="J50" s="996"/>
      <c r="K50" s="996"/>
      <c r="L50" s="997"/>
      <c r="M50" s="1008"/>
      <c r="N50" s="1009"/>
      <c r="O50" s="1010"/>
      <c r="P50" s="1008"/>
      <c r="Q50" s="1009"/>
      <c r="R50" s="1010"/>
      <c r="S50" s="1008"/>
      <c r="T50" s="1009"/>
      <c r="U50" s="1010"/>
      <c r="V50" s="1008"/>
      <c r="W50" s="1009"/>
      <c r="X50" s="1010"/>
      <c r="Y50" s="1008"/>
      <c r="Z50" s="1009"/>
      <c r="AA50" s="1023"/>
      <c r="AB50" s="1017"/>
      <c r="AC50" s="1017"/>
      <c r="AD50" s="1017"/>
      <c r="AE50" s="1017"/>
      <c r="AF50" s="948"/>
      <c r="AG50" s="949"/>
      <c r="AH50" s="949"/>
      <c r="AI50" s="950"/>
      <c r="AJ50" s="45"/>
      <c r="AK50" s="49"/>
      <c r="AN50" s="490"/>
      <c r="AO50" s="18"/>
      <c r="AP50" s="490"/>
      <c r="AQ50" s="18"/>
      <c r="AR50" s="858"/>
    </row>
    <row r="51" spans="1:44" ht="12" customHeight="1" thickBot="1">
      <c r="A51" s="48"/>
      <c r="B51" s="45"/>
      <c r="C51" s="164"/>
      <c r="D51" s="998"/>
      <c r="E51" s="998"/>
      <c r="F51" s="998"/>
      <c r="G51" s="998"/>
      <c r="H51" s="998"/>
      <c r="I51" s="998"/>
      <c r="J51" s="998"/>
      <c r="K51" s="998"/>
      <c r="L51" s="999"/>
      <c r="M51" s="1011"/>
      <c r="N51" s="1012"/>
      <c r="O51" s="1013"/>
      <c r="P51" s="1011"/>
      <c r="Q51" s="1012"/>
      <c r="R51" s="1013"/>
      <c r="S51" s="1011"/>
      <c r="T51" s="1012"/>
      <c r="U51" s="1013"/>
      <c r="V51" s="1011"/>
      <c r="W51" s="1012"/>
      <c r="X51" s="1013"/>
      <c r="Y51" s="1011"/>
      <c r="Z51" s="1012"/>
      <c r="AA51" s="1024"/>
      <c r="AB51" s="1018"/>
      <c r="AC51" s="1018"/>
      <c r="AD51" s="1018"/>
      <c r="AE51" s="1018"/>
      <c r="AF51" s="1001"/>
      <c r="AG51" s="969"/>
      <c r="AH51" s="969"/>
      <c r="AI51" s="972"/>
      <c r="AJ51" s="45"/>
      <c r="AK51" s="49"/>
      <c r="AN51" s="490"/>
      <c r="AO51" s="18"/>
      <c r="AP51" s="490"/>
      <c r="AQ51" s="18"/>
      <c r="AR51" s="858"/>
    </row>
    <row r="52" spans="1:44" ht="15" customHeight="1" thickTop="1">
      <c r="A52" s="48"/>
      <c r="B52" s="45"/>
      <c r="C52" s="966" t="s">
        <v>181</v>
      </c>
      <c r="D52" s="966"/>
      <c r="E52" s="966"/>
      <c r="F52" s="966"/>
      <c r="G52" s="966"/>
      <c r="H52" s="966"/>
      <c r="I52" s="966"/>
      <c r="J52" s="966"/>
      <c r="K52" s="966"/>
      <c r="L52" s="966"/>
      <c r="M52" s="966"/>
      <c r="N52" s="966"/>
      <c r="O52" s="966"/>
      <c r="P52" s="966"/>
      <c r="Q52" s="966"/>
      <c r="R52" s="966"/>
      <c r="S52" s="966"/>
      <c r="T52" s="966"/>
      <c r="U52" s="966"/>
      <c r="V52" s="966"/>
      <c r="W52" s="966"/>
      <c r="X52" s="966"/>
      <c r="Y52" s="966"/>
      <c r="Z52" s="966"/>
      <c r="AA52" s="966"/>
      <c r="AB52" s="966"/>
      <c r="AC52" s="966"/>
      <c r="AD52" s="966"/>
      <c r="AE52" s="966"/>
      <c r="AF52" s="966"/>
      <c r="AG52" s="966"/>
      <c r="AH52" s="966"/>
      <c r="AI52" s="966"/>
      <c r="AJ52" s="45"/>
      <c r="AK52" s="49"/>
      <c r="AN52" s="18"/>
      <c r="AO52" s="18"/>
      <c r="AP52" s="18"/>
      <c r="AQ52" s="18"/>
      <c r="AR52" s="18"/>
    </row>
    <row r="53" spans="1:44" ht="12" customHeight="1" thickBot="1">
      <c r="A53" s="48"/>
      <c r="B53" s="45"/>
      <c r="C53" s="45"/>
      <c r="D53" s="45"/>
      <c r="E53" s="45"/>
      <c r="F53" s="45"/>
      <c r="G53" s="45"/>
      <c r="H53" s="45"/>
      <c r="I53" s="45"/>
      <c r="J53" s="45"/>
      <c r="K53" s="45"/>
      <c r="L53" s="45"/>
      <c r="M53" s="45"/>
      <c r="N53" s="45"/>
      <c r="O53" s="45"/>
      <c r="P53" s="45"/>
      <c r="Q53" s="45"/>
      <c r="R53" s="45"/>
      <c r="S53" s="45"/>
      <c r="T53" s="45"/>
      <c r="U53" s="45"/>
      <c r="V53" s="45"/>
      <c r="W53" s="45"/>
      <c r="X53" s="45"/>
      <c r="Y53" s="45"/>
      <c r="Z53" s="45"/>
      <c r="AA53" s="45"/>
      <c r="AB53" s="45"/>
      <c r="AC53" s="45"/>
      <c r="AD53" s="45"/>
      <c r="AE53" s="45"/>
      <c r="AF53" s="45"/>
      <c r="AG53" s="45"/>
      <c r="AH53" s="45"/>
      <c r="AI53" s="45"/>
      <c r="AJ53" s="45"/>
      <c r="AK53" s="49"/>
      <c r="AN53" s="18"/>
      <c r="AO53" s="18"/>
      <c r="AP53" s="18"/>
      <c r="AQ53" s="18"/>
      <c r="AR53" s="18"/>
    </row>
    <row r="54" spans="1:44" ht="12" customHeight="1" thickTop="1">
      <c r="A54" s="48"/>
      <c r="B54" s="45"/>
      <c r="C54" s="1090" t="s">
        <v>255</v>
      </c>
      <c r="D54" s="1091"/>
      <c r="E54" s="1091"/>
      <c r="F54" s="1091"/>
      <c r="G54" s="1091"/>
      <c r="H54" s="1091"/>
      <c r="I54" s="1091"/>
      <c r="J54" s="1091"/>
      <c r="K54" s="1091"/>
      <c r="L54" s="1091"/>
      <c r="M54" s="1091"/>
      <c r="N54" s="1091"/>
      <c r="O54" s="1091"/>
      <c r="P54" s="1091"/>
      <c r="Q54" s="1091"/>
      <c r="R54" s="1091"/>
      <c r="S54" s="1091"/>
      <c r="T54" s="1091"/>
      <c r="U54" s="1091"/>
      <c r="V54" s="1091"/>
      <c r="W54" s="1091"/>
      <c r="X54" s="1091"/>
      <c r="Y54" s="1091"/>
      <c r="Z54" s="1091"/>
      <c r="AA54" s="1092"/>
      <c r="AB54" s="1096" t="s">
        <v>168</v>
      </c>
      <c r="AC54" s="819"/>
      <c r="AD54" s="819"/>
      <c r="AE54" s="890"/>
      <c r="AF54" s="1096" t="s">
        <v>145</v>
      </c>
      <c r="AG54" s="819"/>
      <c r="AH54" s="819"/>
      <c r="AI54" s="820"/>
      <c r="AJ54" s="45"/>
      <c r="AK54" s="49"/>
      <c r="AN54" s="18"/>
      <c r="AO54" s="18"/>
      <c r="AP54" s="18">
        <f>IF(AP58+AP60+AP62&gt;=1,1,0)</f>
        <v>0</v>
      </c>
      <c r="AQ54" s="18"/>
      <c r="AR54" s="18">
        <f>IF(AR57+AR59+AR61&gt;=1,1,0)</f>
        <v>0</v>
      </c>
    </row>
    <row r="55" spans="1:44" ht="12" customHeight="1">
      <c r="A55" s="48"/>
      <c r="B55" s="45"/>
      <c r="C55" s="1093"/>
      <c r="D55" s="1094"/>
      <c r="E55" s="1094"/>
      <c r="F55" s="1094"/>
      <c r="G55" s="1094"/>
      <c r="H55" s="1094"/>
      <c r="I55" s="1094"/>
      <c r="J55" s="1094"/>
      <c r="K55" s="1094"/>
      <c r="L55" s="1094"/>
      <c r="M55" s="1094"/>
      <c r="N55" s="1094"/>
      <c r="O55" s="1094"/>
      <c r="P55" s="1094"/>
      <c r="Q55" s="1094"/>
      <c r="R55" s="1094"/>
      <c r="S55" s="1094"/>
      <c r="T55" s="1094"/>
      <c r="U55" s="1094"/>
      <c r="V55" s="1094"/>
      <c r="W55" s="1094"/>
      <c r="X55" s="1094"/>
      <c r="Y55" s="1094"/>
      <c r="Z55" s="1094"/>
      <c r="AA55" s="1095"/>
      <c r="AB55" s="843"/>
      <c r="AC55" s="822"/>
      <c r="AD55" s="822"/>
      <c r="AE55" s="1097"/>
      <c r="AF55" s="843"/>
      <c r="AG55" s="822"/>
      <c r="AH55" s="822"/>
      <c r="AI55" s="823"/>
      <c r="AJ55" s="45"/>
      <c r="AK55" s="49"/>
      <c r="AN55" s="18"/>
      <c r="AO55" s="18"/>
      <c r="AP55" s="18"/>
      <c r="AQ55" s="18"/>
      <c r="AR55" s="18"/>
    </row>
    <row r="56" spans="1:44" ht="12" customHeight="1" thickBot="1">
      <c r="A56" s="48"/>
      <c r="B56" s="45"/>
      <c r="C56" s="891" t="s">
        <v>182</v>
      </c>
      <c r="D56" s="825"/>
      <c r="E56" s="825"/>
      <c r="F56" s="825"/>
      <c r="G56" s="825"/>
      <c r="H56" s="825"/>
      <c r="I56" s="825"/>
      <c r="J56" s="825"/>
      <c r="K56" s="825"/>
      <c r="L56" s="825"/>
      <c r="M56" s="825"/>
      <c r="N56" s="825"/>
      <c r="O56" s="825"/>
      <c r="P56" s="825"/>
      <c r="Q56" s="825"/>
      <c r="R56" s="825"/>
      <c r="S56" s="825"/>
      <c r="T56" s="825"/>
      <c r="U56" s="825"/>
      <c r="V56" s="825"/>
      <c r="W56" s="825"/>
      <c r="X56" s="825"/>
      <c r="Y56" s="825"/>
      <c r="Z56" s="825"/>
      <c r="AA56" s="892"/>
      <c r="AB56" s="896" t="s">
        <v>27</v>
      </c>
      <c r="AC56" s="897"/>
      <c r="AD56" s="897" t="s">
        <v>28</v>
      </c>
      <c r="AE56" s="993"/>
      <c r="AF56" s="896" t="s">
        <v>27</v>
      </c>
      <c r="AG56" s="897"/>
      <c r="AH56" s="897" t="s">
        <v>28</v>
      </c>
      <c r="AI56" s="898"/>
      <c r="AJ56" s="45"/>
      <c r="AK56" s="49"/>
      <c r="AN56" s="18"/>
      <c r="AO56" s="18"/>
      <c r="AP56" s="18"/>
      <c r="AQ56" s="18"/>
      <c r="AR56" s="18"/>
    </row>
    <row r="57" spans="1:44" ht="12" customHeight="1">
      <c r="A57" s="48"/>
      <c r="B57" s="45"/>
      <c r="C57" s="233" t="s">
        <v>156</v>
      </c>
      <c r="D57" s="864" t="s">
        <v>278</v>
      </c>
      <c r="E57" s="864"/>
      <c r="F57" s="864"/>
      <c r="G57" s="864"/>
      <c r="H57" s="864"/>
      <c r="I57" s="864"/>
      <c r="J57" s="864"/>
      <c r="K57" s="864"/>
      <c r="L57" s="864"/>
      <c r="M57" s="864"/>
      <c r="N57" s="864"/>
      <c r="O57" s="864"/>
      <c r="P57" s="864"/>
      <c r="Q57" s="864"/>
      <c r="R57" s="864"/>
      <c r="S57" s="864"/>
      <c r="T57" s="864"/>
      <c r="U57" s="864"/>
      <c r="V57" s="864"/>
      <c r="W57" s="865"/>
      <c r="X57" s="973" t="s">
        <v>183</v>
      </c>
      <c r="Y57" s="974"/>
      <c r="Z57" s="974"/>
      <c r="AA57" s="974"/>
      <c r="AB57" s="988"/>
      <c r="AC57" s="989"/>
      <c r="AD57" s="970" t="str">
        <f>IF(AP$6=0,"",IF(AB57="X","","X"))</f>
        <v/>
      </c>
      <c r="AE57" s="970"/>
      <c r="AF57" s="970" t="str">
        <f>IF(AP6=0,"",IF(AN57=1,"X",""))</f>
        <v/>
      </c>
      <c r="AG57" s="970"/>
      <c r="AH57" s="970" t="str">
        <f>IF(AP6=0,"",IF(AN57=0,"X",""))</f>
        <v/>
      </c>
      <c r="AI57" s="971"/>
      <c r="AJ57" s="45"/>
      <c r="AK57" s="49"/>
      <c r="AN57" s="490">
        <f>AP54*AR54</f>
        <v>0</v>
      </c>
      <c r="AO57" s="18"/>
      <c r="AP57" s="18"/>
      <c r="AQ57" s="18"/>
      <c r="AR57" s="18">
        <f>IF(AB57="X",1,0)</f>
        <v>0</v>
      </c>
    </row>
    <row r="58" spans="1:44" ht="12" customHeight="1">
      <c r="A58" s="48"/>
      <c r="B58" s="45"/>
      <c r="C58" s="241"/>
      <c r="D58" s="962"/>
      <c r="E58" s="962"/>
      <c r="F58" s="962"/>
      <c r="G58" s="962"/>
      <c r="H58" s="962"/>
      <c r="I58" s="962"/>
      <c r="J58" s="962"/>
      <c r="K58" s="962"/>
      <c r="L58" s="962"/>
      <c r="M58" s="962"/>
      <c r="N58" s="962"/>
      <c r="O58" s="962"/>
      <c r="P58" s="962"/>
      <c r="Q58" s="962"/>
      <c r="R58" s="962"/>
      <c r="S58" s="962"/>
      <c r="T58" s="962"/>
      <c r="U58" s="962"/>
      <c r="V58" s="962"/>
      <c r="W58" s="963"/>
      <c r="X58" s="975" t="s">
        <v>184</v>
      </c>
      <c r="Y58" s="976"/>
      <c r="Z58" s="976"/>
      <c r="AA58" s="976"/>
      <c r="AB58" s="990"/>
      <c r="AC58" s="991"/>
      <c r="AD58" s="992" t="str">
        <f t="shared" ref="AD58:AD62" si="2">IF(AP$6=0,"",IF(AB58="X","","X"))</f>
        <v/>
      </c>
      <c r="AE58" s="992"/>
      <c r="AF58" s="949"/>
      <c r="AG58" s="949"/>
      <c r="AH58" s="949"/>
      <c r="AI58" s="950"/>
      <c r="AJ58" s="45"/>
      <c r="AK58" s="49"/>
      <c r="AN58" s="490"/>
      <c r="AO58" s="18"/>
      <c r="AP58" s="18">
        <f>IF(AB58="X",1,0)</f>
        <v>0</v>
      </c>
      <c r="AQ58" s="18"/>
      <c r="AR58" s="18"/>
    </row>
    <row r="59" spans="1:44" ht="12" customHeight="1">
      <c r="A59" s="48"/>
      <c r="B59" s="45"/>
      <c r="C59" s="232" t="s">
        <v>157</v>
      </c>
      <c r="D59" s="960" t="s">
        <v>185</v>
      </c>
      <c r="E59" s="960"/>
      <c r="F59" s="960"/>
      <c r="G59" s="960"/>
      <c r="H59" s="960"/>
      <c r="I59" s="960"/>
      <c r="J59" s="960"/>
      <c r="K59" s="960"/>
      <c r="L59" s="960"/>
      <c r="M59" s="960"/>
      <c r="N59" s="960"/>
      <c r="O59" s="960"/>
      <c r="P59" s="960"/>
      <c r="Q59" s="960"/>
      <c r="R59" s="960"/>
      <c r="S59" s="960"/>
      <c r="T59" s="960"/>
      <c r="U59" s="960"/>
      <c r="V59" s="960"/>
      <c r="W59" s="961"/>
      <c r="X59" s="977" t="s">
        <v>183</v>
      </c>
      <c r="Y59" s="978"/>
      <c r="Z59" s="978"/>
      <c r="AA59" s="978"/>
      <c r="AB59" s="983"/>
      <c r="AC59" s="984"/>
      <c r="AD59" s="985" t="str">
        <f t="shared" si="2"/>
        <v/>
      </c>
      <c r="AE59" s="985"/>
      <c r="AF59" s="949"/>
      <c r="AG59" s="949"/>
      <c r="AH59" s="949"/>
      <c r="AI59" s="950"/>
      <c r="AJ59" s="45"/>
      <c r="AK59" s="49"/>
      <c r="AN59" s="490"/>
      <c r="AO59" s="18"/>
      <c r="AP59" s="18"/>
      <c r="AQ59" s="18"/>
      <c r="AR59" s="18">
        <f>IF(AB59="X",1,0)</f>
        <v>0</v>
      </c>
    </row>
    <row r="60" spans="1:44" ht="12" customHeight="1">
      <c r="A60" s="48"/>
      <c r="B60" s="45"/>
      <c r="C60" s="241"/>
      <c r="D60" s="962"/>
      <c r="E60" s="962"/>
      <c r="F60" s="962"/>
      <c r="G60" s="962"/>
      <c r="H60" s="962"/>
      <c r="I60" s="962"/>
      <c r="J60" s="962"/>
      <c r="K60" s="962"/>
      <c r="L60" s="962"/>
      <c r="M60" s="962"/>
      <c r="N60" s="962"/>
      <c r="O60" s="962"/>
      <c r="P60" s="962"/>
      <c r="Q60" s="962"/>
      <c r="R60" s="962"/>
      <c r="S60" s="962"/>
      <c r="T60" s="962"/>
      <c r="U60" s="962"/>
      <c r="V60" s="962"/>
      <c r="W60" s="963"/>
      <c r="X60" s="979" t="s">
        <v>184</v>
      </c>
      <c r="Y60" s="980"/>
      <c r="Z60" s="980"/>
      <c r="AA60" s="980"/>
      <c r="AB60" s="986"/>
      <c r="AC60" s="987"/>
      <c r="AD60" s="949" t="str">
        <f t="shared" si="2"/>
        <v/>
      </c>
      <c r="AE60" s="949"/>
      <c r="AF60" s="949"/>
      <c r="AG60" s="949"/>
      <c r="AH60" s="949"/>
      <c r="AI60" s="950"/>
      <c r="AJ60" s="45"/>
      <c r="AK60" s="49"/>
      <c r="AN60" s="490"/>
      <c r="AO60" s="18"/>
      <c r="AP60" s="18">
        <f>IF(AB60="X",1,0)</f>
        <v>0</v>
      </c>
      <c r="AQ60" s="18"/>
      <c r="AR60" s="18"/>
    </row>
    <row r="61" spans="1:44" ht="12" customHeight="1">
      <c r="A61" s="48"/>
      <c r="B61" s="45"/>
      <c r="C61" s="242" t="s">
        <v>158</v>
      </c>
      <c r="D61" s="960" t="s">
        <v>254</v>
      </c>
      <c r="E61" s="960"/>
      <c r="F61" s="960"/>
      <c r="G61" s="960"/>
      <c r="H61" s="960"/>
      <c r="I61" s="960"/>
      <c r="J61" s="960"/>
      <c r="K61" s="960"/>
      <c r="L61" s="960"/>
      <c r="M61" s="960"/>
      <c r="N61" s="960"/>
      <c r="O61" s="960"/>
      <c r="P61" s="960"/>
      <c r="Q61" s="960"/>
      <c r="R61" s="960"/>
      <c r="S61" s="960"/>
      <c r="T61" s="960"/>
      <c r="U61" s="960"/>
      <c r="V61" s="960"/>
      <c r="W61" s="961"/>
      <c r="X61" s="977" t="s">
        <v>183</v>
      </c>
      <c r="Y61" s="978"/>
      <c r="Z61" s="978"/>
      <c r="AA61" s="978"/>
      <c r="AB61" s="983"/>
      <c r="AC61" s="984"/>
      <c r="AD61" s="985" t="str">
        <f t="shared" si="2"/>
        <v/>
      </c>
      <c r="AE61" s="985"/>
      <c r="AF61" s="949"/>
      <c r="AG61" s="949"/>
      <c r="AH61" s="949"/>
      <c r="AI61" s="950"/>
      <c r="AJ61" s="45"/>
      <c r="AK61" s="49"/>
      <c r="AN61" s="490"/>
      <c r="AO61" s="18"/>
      <c r="AP61" s="18"/>
      <c r="AQ61" s="18"/>
      <c r="AR61" s="18">
        <f>IF(AB61="X",1,0)</f>
        <v>0</v>
      </c>
    </row>
    <row r="62" spans="1:44" ht="12" customHeight="1" thickBot="1">
      <c r="A62" s="48"/>
      <c r="B62" s="45"/>
      <c r="C62" s="164"/>
      <c r="D62" s="964"/>
      <c r="E62" s="964"/>
      <c r="F62" s="964"/>
      <c r="G62" s="964"/>
      <c r="H62" s="964"/>
      <c r="I62" s="964"/>
      <c r="J62" s="964"/>
      <c r="K62" s="964"/>
      <c r="L62" s="964"/>
      <c r="M62" s="964"/>
      <c r="N62" s="964"/>
      <c r="O62" s="964"/>
      <c r="P62" s="964"/>
      <c r="Q62" s="964"/>
      <c r="R62" s="964"/>
      <c r="S62" s="964"/>
      <c r="T62" s="964"/>
      <c r="U62" s="964"/>
      <c r="V62" s="964"/>
      <c r="W62" s="965"/>
      <c r="X62" s="981" t="s">
        <v>184</v>
      </c>
      <c r="Y62" s="982"/>
      <c r="Z62" s="982"/>
      <c r="AA62" s="982"/>
      <c r="AB62" s="967"/>
      <c r="AC62" s="968"/>
      <c r="AD62" s="969" t="str">
        <f t="shared" si="2"/>
        <v/>
      </c>
      <c r="AE62" s="969"/>
      <c r="AF62" s="969"/>
      <c r="AG62" s="969"/>
      <c r="AH62" s="969"/>
      <c r="AI62" s="972"/>
      <c r="AJ62" s="45"/>
      <c r="AK62" s="49"/>
      <c r="AN62" s="490"/>
      <c r="AO62" s="18"/>
      <c r="AP62" s="18">
        <f>IF(AB62="X",1,0)</f>
        <v>0</v>
      </c>
      <c r="AQ62" s="18"/>
      <c r="AR62" s="18"/>
    </row>
    <row r="63" spans="1:44" ht="15" customHeight="1" thickTop="1">
      <c r="A63" s="48"/>
      <c r="B63" s="45"/>
      <c r="C63" s="966" t="s">
        <v>186</v>
      </c>
      <c r="D63" s="966"/>
      <c r="E63" s="966"/>
      <c r="F63" s="966"/>
      <c r="G63" s="966"/>
      <c r="H63" s="966"/>
      <c r="I63" s="966"/>
      <c r="J63" s="966"/>
      <c r="K63" s="966"/>
      <c r="L63" s="966"/>
      <c r="M63" s="966"/>
      <c r="N63" s="966"/>
      <c r="O63" s="966"/>
      <c r="P63" s="966"/>
      <c r="Q63" s="966"/>
      <c r="R63" s="966"/>
      <c r="S63" s="966"/>
      <c r="T63" s="966"/>
      <c r="U63" s="966"/>
      <c r="V63" s="966"/>
      <c r="W63" s="966"/>
      <c r="X63" s="966"/>
      <c r="Y63" s="966"/>
      <c r="Z63" s="966"/>
      <c r="AA63" s="966"/>
      <c r="AB63" s="966"/>
      <c r="AC63" s="966"/>
      <c r="AD63" s="966"/>
      <c r="AE63" s="966"/>
      <c r="AF63" s="966"/>
      <c r="AG63" s="966"/>
      <c r="AH63" s="966"/>
      <c r="AI63" s="966"/>
      <c r="AJ63" s="45"/>
      <c r="AK63" s="49"/>
    </row>
    <row r="64" spans="1:44" ht="12" customHeight="1">
      <c r="A64" s="48"/>
      <c r="B64" s="45"/>
      <c r="D64" s="428" t="s">
        <v>256</v>
      </c>
      <c r="E64" s="429" t="s">
        <v>257</v>
      </c>
      <c r="F64" s="45"/>
      <c r="G64" s="45"/>
      <c r="H64" s="45"/>
      <c r="I64" s="45"/>
      <c r="J64" s="45"/>
      <c r="K64" s="45"/>
      <c r="L64" s="45"/>
      <c r="M64" s="45"/>
      <c r="N64" s="45"/>
      <c r="O64" s="45"/>
      <c r="P64" s="45"/>
      <c r="Q64" s="45"/>
      <c r="R64" s="45"/>
      <c r="S64" s="45"/>
      <c r="T64" s="45"/>
      <c r="U64" s="45"/>
      <c r="V64" s="45"/>
      <c r="W64" s="45"/>
      <c r="X64" s="45"/>
      <c r="Y64" s="45"/>
      <c r="Z64" s="45"/>
      <c r="AA64" s="45"/>
      <c r="AB64" s="45"/>
      <c r="AC64" s="45"/>
      <c r="AD64" s="45"/>
      <c r="AE64" s="45"/>
      <c r="AF64" s="45"/>
      <c r="AG64" s="45"/>
      <c r="AH64" s="45"/>
      <c r="AI64" s="45"/>
      <c r="AJ64" s="45"/>
      <c r="AK64" s="49"/>
    </row>
    <row r="65" spans="1:37" ht="6" customHeight="1">
      <c r="A65" s="50"/>
      <c r="B65" s="51"/>
      <c r="C65" s="51"/>
      <c r="D65" s="51"/>
      <c r="E65" s="51"/>
      <c r="F65" s="51"/>
      <c r="G65" s="51"/>
      <c r="H65" s="51"/>
      <c r="I65" s="51"/>
      <c r="J65" s="51"/>
      <c r="K65" s="51"/>
      <c r="L65" s="51"/>
      <c r="M65" s="51"/>
      <c r="N65" s="51"/>
      <c r="O65" s="51"/>
      <c r="P65" s="51"/>
      <c r="Q65" s="51"/>
      <c r="R65" s="51"/>
      <c r="S65" s="51"/>
      <c r="T65" s="51"/>
      <c r="U65" s="51"/>
      <c r="V65" s="51"/>
      <c r="W65" s="51"/>
      <c r="X65" s="51"/>
      <c r="Y65" s="51"/>
      <c r="Z65" s="51"/>
      <c r="AA65" s="51"/>
      <c r="AB65" s="51"/>
      <c r="AC65" s="51"/>
      <c r="AD65" s="51"/>
      <c r="AE65" s="51"/>
      <c r="AF65" s="51"/>
      <c r="AG65" s="51"/>
      <c r="AH65" s="51"/>
      <c r="AI65" s="51"/>
      <c r="AJ65" s="51"/>
      <c r="AK65" s="52"/>
    </row>
  </sheetData>
  <sheetProtection sheet="1" objects="1" scenarios="1" selectLockedCells="1"/>
  <mergeCells count="109">
    <mergeCell ref="AR49:AR51"/>
    <mergeCell ref="C54:AA55"/>
    <mergeCell ref="AB54:AE55"/>
    <mergeCell ref="AF54:AI55"/>
    <mergeCell ref="C8:AI10"/>
    <mergeCell ref="AN16:AN19"/>
    <mergeCell ref="AN20:AN22"/>
    <mergeCell ref="B2:AJ3"/>
    <mergeCell ref="AF14:AI15"/>
    <mergeCell ref="AF12:AI12"/>
    <mergeCell ref="AF13:AG13"/>
    <mergeCell ref="AH13:AI13"/>
    <mergeCell ref="C12:AE13"/>
    <mergeCell ref="D14:AE15"/>
    <mergeCell ref="AB23:AE23"/>
    <mergeCell ref="AB24:AC24"/>
    <mergeCell ref="AD24:AE24"/>
    <mergeCell ref="D23:AA24"/>
    <mergeCell ref="AF23:AI24"/>
    <mergeCell ref="D20:AC22"/>
    <mergeCell ref="AD20:AE22"/>
    <mergeCell ref="AF16:AG19"/>
    <mergeCell ref="AH16:AI19"/>
    <mergeCell ref="AF20:AG22"/>
    <mergeCell ref="AH20:AI22"/>
    <mergeCell ref="D16:AE19"/>
    <mergeCell ref="AN25:AN28"/>
    <mergeCell ref="C34:AH36"/>
    <mergeCell ref="AF38:AI38"/>
    <mergeCell ref="D27:AA27"/>
    <mergeCell ref="AB27:AC27"/>
    <mergeCell ref="AD27:AE27"/>
    <mergeCell ref="D28:AA28"/>
    <mergeCell ref="AB28:AC28"/>
    <mergeCell ref="AD28:AE28"/>
    <mergeCell ref="D25:AA25"/>
    <mergeCell ref="AB25:AC25"/>
    <mergeCell ref="AD25:AE25"/>
    <mergeCell ref="D26:AA26"/>
    <mergeCell ref="AB26:AC26"/>
    <mergeCell ref="AD26:AE26"/>
    <mergeCell ref="D40:G45"/>
    <mergeCell ref="AF39:AG39"/>
    <mergeCell ref="AH39:AI39"/>
    <mergeCell ref="AB38:AE38"/>
    <mergeCell ref="AB39:AC39"/>
    <mergeCell ref="AD39:AE39"/>
    <mergeCell ref="C38:AA39"/>
    <mergeCell ref="AF25:AG28"/>
    <mergeCell ref="AH25:AI28"/>
    <mergeCell ref="I40:X42"/>
    <mergeCell ref="Y40:AA40"/>
    <mergeCell ref="Y41:AA42"/>
    <mergeCell ref="AB49:AE51"/>
    <mergeCell ref="Y46:AA48"/>
    <mergeCell ref="V46:X48"/>
    <mergeCell ref="V49:X51"/>
    <mergeCell ref="Y49:AA51"/>
    <mergeCell ref="AH40:AI45"/>
    <mergeCell ref="AB43:AC45"/>
    <mergeCell ref="AD43:AE45"/>
    <mergeCell ref="I43:AA45"/>
    <mergeCell ref="AB40:AC42"/>
    <mergeCell ref="AD40:AE42"/>
    <mergeCell ref="AF40:AG45"/>
    <mergeCell ref="C56:AA56"/>
    <mergeCell ref="AB57:AC57"/>
    <mergeCell ref="AD57:AE57"/>
    <mergeCell ref="AB58:AC58"/>
    <mergeCell ref="AD58:AE58"/>
    <mergeCell ref="D57:W58"/>
    <mergeCell ref="AP40:AP45"/>
    <mergeCell ref="AN40:AN51"/>
    <mergeCell ref="C52:AI52"/>
    <mergeCell ref="AB56:AC56"/>
    <mergeCell ref="AD56:AE56"/>
    <mergeCell ref="AF56:AG56"/>
    <mergeCell ref="AH56:AI56"/>
    <mergeCell ref="D46:L51"/>
    <mergeCell ref="AF46:AG51"/>
    <mergeCell ref="AH46:AI51"/>
    <mergeCell ref="AP46:AP51"/>
    <mergeCell ref="S46:U48"/>
    <mergeCell ref="P46:R48"/>
    <mergeCell ref="M46:O48"/>
    <mergeCell ref="M49:O51"/>
    <mergeCell ref="P49:R51"/>
    <mergeCell ref="S49:U51"/>
    <mergeCell ref="AB46:AE48"/>
    <mergeCell ref="D59:W60"/>
    <mergeCell ref="D61:W62"/>
    <mergeCell ref="C63:AI63"/>
    <mergeCell ref="AN57:AN62"/>
    <mergeCell ref="AB62:AC62"/>
    <mergeCell ref="AD62:AE62"/>
    <mergeCell ref="AF57:AG62"/>
    <mergeCell ref="AH57:AI62"/>
    <mergeCell ref="X57:AA57"/>
    <mergeCell ref="X58:AA58"/>
    <mergeCell ref="X59:AA59"/>
    <mergeCell ref="X60:AA60"/>
    <mergeCell ref="X61:AA61"/>
    <mergeCell ref="X62:AA62"/>
    <mergeCell ref="AB59:AC59"/>
    <mergeCell ref="AD59:AE59"/>
    <mergeCell ref="AB60:AC60"/>
    <mergeCell ref="AD60:AE60"/>
    <mergeCell ref="AB61:AC61"/>
    <mergeCell ref="AD61:AE61"/>
  </mergeCells>
  <printOptions horizontalCentered="1"/>
  <pageMargins left="0.5" right="0.25" top="0.25" bottom="0.5" header="0.3" footer="0.35"/>
  <pageSetup orientation="portrait" r:id="rId1"/>
  <headerFooter>
    <oddFooter>&amp;L&amp;"Arial,Italic"&amp;8Based on MUTCD 2009
Page 6 of 7&amp;C&amp;"Arial,Bold"&amp;8&amp;UNOTE:&amp;"Arial,Italic"&amp;U  The satisfaction of a warrant or warrants shall not in
itself require the installation of a traffic control signal.&amp;R&amp;"Arial,Italic"&amp;8rev. 05/2011</oddFooter>
  </headerFooter>
</worksheet>
</file>

<file path=xl/worksheets/sheet7.xml><?xml version="1.0" encoding="utf-8"?>
<worksheet xmlns="http://schemas.openxmlformats.org/spreadsheetml/2006/main" xmlns:r="http://schemas.openxmlformats.org/officeDocument/2006/relationships">
  <sheetPr codeName="Sheet13"/>
  <dimension ref="A1:AW74"/>
  <sheetViews>
    <sheetView showGridLines="0" zoomScaleNormal="100" workbookViewId="0">
      <selection activeCell="X14" sqref="X14:Y15"/>
    </sheetView>
  </sheetViews>
  <sheetFormatPr defaultColWidth="2.7109375" defaultRowHeight="12" customHeight="1"/>
  <cols>
    <col min="1" max="1" width="0.85546875" customWidth="1"/>
    <col min="37" max="37" width="0.85546875" customWidth="1"/>
    <col min="40" max="42" width="2.7109375" style="18" hidden="1" customWidth="1"/>
    <col min="43" max="45" width="2.7109375" style="18"/>
    <col min="46" max="46" width="3" style="18" bestFit="1" customWidth="1"/>
    <col min="47" max="47" width="4" style="18" bestFit="1" customWidth="1"/>
    <col min="48" max="49" width="2.7109375" style="18"/>
  </cols>
  <sheetData>
    <row r="1" spans="1:44" ht="6" customHeight="1">
      <c r="A1" s="46"/>
      <c r="B1" s="210"/>
      <c r="C1" s="210"/>
      <c r="D1" s="210"/>
      <c r="E1" s="210"/>
      <c r="F1" s="210"/>
      <c r="G1" s="210"/>
      <c r="H1" s="210"/>
      <c r="I1" s="210"/>
      <c r="J1" s="210"/>
      <c r="K1" s="210"/>
      <c r="L1" s="210"/>
      <c r="M1" s="210"/>
      <c r="N1" s="210"/>
      <c r="O1" s="210"/>
      <c r="P1" s="210"/>
      <c r="Q1" s="210"/>
      <c r="R1" s="210"/>
      <c r="S1" s="210"/>
      <c r="T1" s="210"/>
      <c r="U1" s="210"/>
      <c r="V1" s="210"/>
      <c r="W1" s="210"/>
      <c r="X1" s="210"/>
      <c r="Y1" s="210"/>
      <c r="Z1" s="210"/>
      <c r="AA1" s="210"/>
      <c r="AB1" s="210"/>
      <c r="AC1" s="210"/>
      <c r="AD1" s="210"/>
      <c r="AE1" s="210"/>
      <c r="AF1" s="210"/>
      <c r="AG1" s="210"/>
      <c r="AH1" s="210"/>
      <c r="AI1" s="210"/>
      <c r="AJ1" s="210"/>
      <c r="AK1" s="211"/>
    </row>
    <row r="2" spans="1:44" ht="12" customHeight="1">
      <c r="A2" s="48"/>
      <c r="B2" s="492" t="s">
        <v>293</v>
      </c>
      <c r="C2" s="492"/>
      <c r="D2" s="492"/>
      <c r="E2" s="492"/>
      <c r="F2" s="492"/>
      <c r="G2" s="492"/>
      <c r="H2" s="492"/>
      <c r="I2" s="492"/>
      <c r="J2" s="492"/>
      <c r="K2" s="492"/>
      <c r="L2" s="492"/>
      <c r="M2" s="492"/>
      <c r="N2" s="492"/>
      <c r="O2" s="492"/>
      <c r="P2" s="492"/>
      <c r="Q2" s="492"/>
      <c r="R2" s="492"/>
      <c r="S2" s="492"/>
      <c r="T2" s="492"/>
      <c r="U2" s="492"/>
      <c r="V2" s="492"/>
      <c r="W2" s="492"/>
      <c r="X2" s="492"/>
      <c r="Y2" s="492"/>
      <c r="Z2" s="492"/>
      <c r="AA2" s="492"/>
      <c r="AB2" s="492"/>
      <c r="AC2" s="492"/>
      <c r="AD2" s="492"/>
      <c r="AE2" s="492"/>
      <c r="AF2" s="492"/>
      <c r="AG2" s="492"/>
      <c r="AH2" s="492"/>
      <c r="AI2" s="492"/>
      <c r="AJ2" s="492"/>
      <c r="AK2" s="49"/>
    </row>
    <row r="3" spans="1:44" ht="12" customHeight="1">
      <c r="A3" s="48"/>
      <c r="B3" s="492"/>
      <c r="C3" s="492"/>
      <c r="D3" s="492"/>
      <c r="E3" s="492"/>
      <c r="F3" s="492"/>
      <c r="G3" s="492"/>
      <c r="H3" s="492"/>
      <c r="I3" s="492"/>
      <c r="J3" s="492"/>
      <c r="K3" s="492"/>
      <c r="L3" s="492"/>
      <c r="M3" s="492"/>
      <c r="N3" s="492"/>
      <c r="O3" s="492"/>
      <c r="P3" s="492"/>
      <c r="Q3" s="492"/>
      <c r="R3" s="492"/>
      <c r="S3" s="492"/>
      <c r="T3" s="492"/>
      <c r="U3" s="492"/>
      <c r="V3" s="492"/>
      <c r="W3" s="492"/>
      <c r="X3" s="492"/>
      <c r="Y3" s="492"/>
      <c r="Z3" s="492"/>
      <c r="AA3" s="492"/>
      <c r="AB3" s="492"/>
      <c r="AC3" s="492"/>
      <c r="AD3" s="492"/>
      <c r="AE3" s="492"/>
      <c r="AF3" s="492"/>
      <c r="AG3" s="492"/>
      <c r="AH3" s="492"/>
      <c r="AI3" s="492"/>
      <c r="AJ3" s="492"/>
      <c r="AK3" s="49"/>
    </row>
    <row r="4" spans="1:44" ht="6" customHeight="1">
      <c r="A4" s="48"/>
      <c r="B4" s="176"/>
      <c r="C4" s="176"/>
      <c r="D4" s="176"/>
      <c r="E4" s="176"/>
      <c r="F4" s="176"/>
      <c r="G4" s="176"/>
      <c r="H4" s="176"/>
      <c r="I4" s="176"/>
      <c r="J4" s="176"/>
      <c r="K4" s="176"/>
      <c r="L4" s="176"/>
      <c r="M4" s="176"/>
      <c r="N4" s="176"/>
      <c r="O4" s="176"/>
      <c r="P4" s="176"/>
      <c r="Q4" s="176"/>
      <c r="R4" s="176"/>
      <c r="S4" s="176"/>
      <c r="T4" s="176"/>
      <c r="U4" s="176"/>
      <c r="V4" s="176"/>
      <c r="W4" s="176"/>
      <c r="X4" s="176"/>
      <c r="Y4" s="176"/>
      <c r="Z4" s="176"/>
      <c r="AA4" s="176"/>
      <c r="AB4" s="176"/>
      <c r="AC4" s="176"/>
      <c r="AD4" s="176"/>
      <c r="AE4" s="176"/>
      <c r="AF4" s="176"/>
      <c r="AG4" s="176"/>
      <c r="AH4" s="176"/>
      <c r="AI4" s="176"/>
      <c r="AJ4" s="176"/>
      <c r="AK4" s="49"/>
    </row>
    <row r="5" spans="1:44" ht="6" customHeight="1">
      <c r="A5" s="48"/>
      <c r="B5" s="170"/>
      <c r="C5" s="170"/>
      <c r="D5" s="170"/>
      <c r="E5" s="170"/>
      <c r="F5" s="170"/>
      <c r="G5" s="170"/>
      <c r="H5" s="170"/>
      <c r="I5" s="170"/>
      <c r="J5" s="170"/>
      <c r="K5" s="170"/>
      <c r="L5" s="170"/>
      <c r="M5" s="170"/>
      <c r="N5" s="170"/>
      <c r="O5" s="170"/>
      <c r="P5" s="170"/>
      <c r="Q5" s="170"/>
      <c r="R5" s="170"/>
      <c r="S5" s="170"/>
      <c r="T5" s="170"/>
      <c r="U5" s="170"/>
      <c r="V5" s="170"/>
      <c r="W5" s="170"/>
      <c r="X5" s="170"/>
      <c r="Y5" s="170"/>
      <c r="Z5" s="170"/>
      <c r="AA5" s="170"/>
      <c r="AB5" s="170"/>
      <c r="AC5" s="170"/>
      <c r="AD5" s="170"/>
      <c r="AE5" s="170"/>
      <c r="AF5" s="170"/>
      <c r="AG5" s="170"/>
      <c r="AH5" s="170"/>
      <c r="AI5" s="170"/>
      <c r="AJ5" s="170"/>
      <c r="AK5" s="49"/>
    </row>
    <row r="6" spans="1:44" ht="12" customHeight="1">
      <c r="A6" s="48"/>
      <c r="B6" s="209"/>
      <c r="C6" s="1122" t="s">
        <v>187</v>
      </c>
      <c r="D6" s="1122"/>
      <c r="E6" s="1122"/>
      <c r="F6" s="1122"/>
      <c r="G6" s="1122"/>
      <c r="H6" s="1122"/>
      <c r="I6" s="1122"/>
      <c r="J6" s="1122"/>
      <c r="K6" s="1122"/>
      <c r="L6" s="1122"/>
      <c r="M6" s="1122"/>
      <c r="N6" s="1122"/>
      <c r="O6" s="1122"/>
      <c r="P6" s="1122"/>
      <c r="Q6" s="1122"/>
      <c r="R6" s="1122"/>
      <c r="S6" s="1122"/>
      <c r="T6" s="1122"/>
      <c r="U6" s="1122"/>
      <c r="V6" s="1122"/>
      <c r="W6" s="1122"/>
      <c r="X6" s="1122"/>
      <c r="Y6" s="1122"/>
      <c r="Z6" s="1122"/>
      <c r="AA6" s="1122"/>
      <c r="AB6" s="45"/>
      <c r="AC6" s="170"/>
      <c r="AD6" s="1114" t="s">
        <v>211</v>
      </c>
      <c r="AE6" s="1114"/>
      <c r="AF6" s="1114"/>
      <c r="AG6" s="1114"/>
      <c r="AH6" s="1114"/>
      <c r="AI6" s="45"/>
      <c r="AJ6" s="45"/>
      <c r="AK6" s="49"/>
    </row>
    <row r="7" spans="1:44" ht="12" customHeight="1">
      <c r="A7" s="48"/>
      <c r="B7" s="45"/>
      <c r="C7" s="1122"/>
      <c r="D7" s="1122"/>
      <c r="E7" s="1122"/>
      <c r="F7" s="1122"/>
      <c r="G7" s="1122"/>
      <c r="H7" s="1122"/>
      <c r="I7" s="1122"/>
      <c r="J7" s="1122"/>
      <c r="K7" s="1122"/>
      <c r="L7" s="1122"/>
      <c r="M7" s="1122"/>
      <c r="N7" s="1122"/>
      <c r="O7" s="1122"/>
      <c r="P7" s="1122"/>
      <c r="Q7" s="1122"/>
      <c r="R7" s="1122"/>
      <c r="S7" s="1122"/>
      <c r="T7" s="1122"/>
      <c r="U7" s="1122"/>
      <c r="V7" s="1122"/>
      <c r="W7" s="1122"/>
      <c r="X7" s="1122"/>
      <c r="Y7" s="1122"/>
      <c r="Z7" s="1122"/>
      <c r="AA7" s="1122"/>
      <c r="AB7" s="45"/>
      <c r="AC7" s="45"/>
      <c r="AD7" s="431" t="str">
        <f>IF(AB21="","",IF(AB21&lt;=140,"X",""))</f>
        <v/>
      </c>
      <c r="AE7" s="172" t="s">
        <v>27</v>
      </c>
      <c r="AF7" s="172"/>
      <c r="AG7" s="276" t="str">
        <f>IF(AB21="","",IF(AD7="X","","X"))</f>
        <v/>
      </c>
      <c r="AH7" s="172" t="s">
        <v>28</v>
      </c>
      <c r="AI7" s="170"/>
      <c r="AJ7" s="170"/>
      <c r="AK7" s="49"/>
      <c r="AN7" s="395">
        <f>IF(AD7="X",1,0)</f>
        <v>0</v>
      </c>
      <c r="AP7" s="395">
        <f>IF('Warrant 1'!W10="",1,'Warrant 1'!W10)</f>
        <v>1</v>
      </c>
    </row>
    <row r="8" spans="1:44" ht="6" customHeight="1">
      <c r="A8" s="48"/>
      <c r="B8" s="45"/>
      <c r="C8" s="279"/>
      <c r="D8" s="279"/>
      <c r="E8" s="279"/>
      <c r="F8" s="279"/>
      <c r="G8" s="279"/>
      <c r="H8" s="279"/>
      <c r="I8" s="279"/>
      <c r="J8" s="279"/>
      <c r="K8" s="279"/>
      <c r="L8" s="279"/>
      <c r="M8" s="279"/>
      <c r="N8" s="279"/>
      <c r="O8" s="279"/>
      <c r="P8" s="279"/>
      <c r="Q8" s="279"/>
      <c r="R8" s="279"/>
      <c r="S8" s="279"/>
      <c r="T8" s="279"/>
      <c r="U8" s="279"/>
      <c r="V8" s="279"/>
      <c r="W8" s="279"/>
      <c r="X8" s="279"/>
      <c r="Y8" s="279"/>
      <c r="Z8" s="279"/>
      <c r="AA8" s="279"/>
      <c r="AB8" s="45"/>
      <c r="AC8" s="45"/>
      <c r="AI8" s="170"/>
      <c r="AJ8" s="170"/>
      <c r="AK8" s="49"/>
      <c r="AN8" s="395"/>
    </row>
    <row r="9" spans="1:44" ht="12" customHeight="1">
      <c r="A9" s="48"/>
      <c r="B9" s="45"/>
      <c r="C9" s="856" t="s">
        <v>259</v>
      </c>
      <c r="D9" s="856"/>
      <c r="E9" s="856"/>
      <c r="F9" s="856"/>
      <c r="G9" s="856"/>
      <c r="H9" s="856"/>
      <c r="I9" s="856"/>
      <c r="J9" s="856"/>
      <c r="K9" s="856"/>
      <c r="L9" s="856"/>
      <c r="M9" s="856"/>
      <c r="N9" s="856"/>
      <c r="O9" s="856"/>
      <c r="P9" s="856"/>
      <c r="Q9" s="856"/>
      <c r="R9" s="856"/>
      <c r="S9" s="856"/>
      <c r="T9" s="856"/>
      <c r="U9" s="856"/>
      <c r="V9" s="856"/>
      <c r="W9" s="856"/>
      <c r="X9" s="856"/>
      <c r="Y9" s="856"/>
      <c r="Z9" s="856"/>
      <c r="AA9" s="856"/>
      <c r="AB9" s="856"/>
      <c r="AC9" s="856"/>
      <c r="AD9" s="856"/>
      <c r="AE9" s="856"/>
      <c r="AF9" s="856"/>
      <c r="AG9" s="856"/>
      <c r="AH9" s="856"/>
      <c r="AI9" s="856"/>
      <c r="AJ9" s="170"/>
      <c r="AK9" s="49"/>
    </row>
    <row r="10" spans="1:44" ht="12" customHeight="1">
      <c r="A10" s="48"/>
      <c r="B10" s="45"/>
      <c r="C10" s="856"/>
      <c r="D10" s="856"/>
      <c r="E10" s="856"/>
      <c r="F10" s="856"/>
      <c r="G10" s="856"/>
      <c r="H10" s="856"/>
      <c r="I10" s="856"/>
      <c r="J10" s="856"/>
      <c r="K10" s="856"/>
      <c r="L10" s="856"/>
      <c r="M10" s="856"/>
      <c r="N10" s="856"/>
      <c r="O10" s="856"/>
      <c r="P10" s="856"/>
      <c r="Q10" s="856"/>
      <c r="R10" s="856"/>
      <c r="S10" s="856"/>
      <c r="T10" s="856"/>
      <c r="U10" s="856"/>
      <c r="V10" s="856"/>
      <c r="W10" s="856"/>
      <c r="X10" s="856"/>
      <c r="Y10" s="856"/>
      <c r="Z10" s="856"/>
      <c r="AA10" s="856"/>
      <c r="AB10" s="856"/>
      <c r="AC10" s="856"/>
      <c r="AD10" s="856"/>
      <c r="AE10" s="856"/>
      <c r="AF10" s="856"/>
      <c r="AG10" s="856"/>
      <c r="AH10" s="856"/>
      <c r="AI10" s="856"/>
      <c r="AJ10" s="45"/>
      <c r="AK10" s="49"/>
    </row>
    <row r="11" spans="1:44" ht="12" customHeight="1">
      <c r="A11" s="48"/>
      <c r="B11" s="45"/>
      <c r="C11" s="856"/>
      <c r="D11" s="856"/>
      <c r="E11" s="856"/>
      <c r="F11" s="856"/>
      <c r="G11" s="856"/>
      <c r="H11" s="856"/>
      <c r="I11" s="856"/>
      <c r="J11" s="856"/>
      <c r="K11" s="856"/>
      <c r="L11" s="856"/>
      <c r="M11" s="856"/>
      <c r="N11" s="856"/>
      <c r="O11" s="856"/>
      <c r="P11" s="856"/>
      <c r="Q11" s="856"/>
      <c r="R11" s="856"/>
      <c r="S11" s="856"/>
      <c r="T11" s="856"/>
      <c r="U11" s="856"/>
      <c r="V11" s="856"/>
      <c r="W11" s="856"/>
      <c r="X11" s="856"/>
      <c r="Y11" s="856"/>
      <c r="Z11" s="856"/>
      <c r="AA11" s="856"/>
      <c r="AB11" s="856"/>
      <c r="AC11" s="856"/>
      <c r="AD11" s="856"/>
      <c r="AE11" s="856"/>
      <c r="AF11" s="856"/>
      <c r="AG11" s="856"/>
      <c r="AH11" s="856"/>
      <c r="AI11" s="856"/>
      <c r="AJ11" s="45"/>
      <c r="AK11" s="49"/>
    </row>
    <row r="12" spans="1:44" ht="6" customHeight="1" thickBot="1">
      <c r="A12" s="48"/>
      <c r="B12" s="45"/>
      <c r="AJ12" s="45"/>
      <c r="AK12" s="49"/>
    </row>
    <row r="13" spans="1:44" ht="12.95" customHeight="1" thickTop="1" thickBot="1">
      <c r="A13" s="48"/>
      <c r="B13" s="45"/>
      <c r="C13" s="1115" t="s">
        <v>263</v>
      </c>
      <c r="D13" s="1116"/>
      <c r="E13" s="1116"/>
      <c r="F13" s="1116"/>
      <c r="G13" s="1116"/>
      <c r="H13" s="1116"/>
      <c r="I13" s="1116"/>
      <c r="J13" s="1116"/>
      <c r="K13" s="1116"/>
      <c r="L13" s="1116"/>
      <c r="M13" s="1116"/>
      <c r="N13" s="1116"/>
      <c r="O13" s="1116"/>
      <c r="P13" s="1116"/>
      <c r="Q13" s="1116"/>
      <c r="R13" s="1116"/>
      <c r="S13" s="1116"/>
      <c r="T13" s="1116"/>
      <c r="U13" s="1116"/>
      <c r="V13" s="1116"/>
      <c r="W13" s="1116"/>
      <c r="X13" s="1116"/>
      <c r="Y13" s="1117"/>
      <c r="Z13" s="1124" t="s">
        <v>210</v>
      </c>
      <c r="AA13" s="1124"/>
      <c r="AB13" s="1124"/>
      <c r="AC13" s="1125"/>
      <c r="AD13" s="276" t="str">
        <f>IF(AN13=1,"X","")</f>
        <v/>
      </c>
      <c r="AE13" s="172" t="s">
        <v>27</v>
      </c>
      <c r="AF13" s="172"/>
      <c r="AG13" s="276" t="str">
        <f>IF(AN13=0,"X","")</f>
        <v/>
      </c>
      <c r="AH13" s="172" t="s">
        <v>28</v>
      </c>
      <c r="AJ13" s="45"/>
      <c r="AK13" s="49"/>
      <c r="AN13" s="395" t="str">
        <f>IF(AN7=0,"",W9Calc!G3)</f>
        <v/>
      </c>
    </row>
    <row r="14" spans="1:44" ht="12" customHeight="1" thickBot="1">
      <c r="A14" s="48"/>
      <c r="B14" s="45"/>
      <c r="C14" s="1118" t="s">
        <v>156</v>
      </c>
      <c r="D14" s="939" t="s">
        <v>264</v>
      </c>
      <c r="E14" s="939"/>
      <c r="F14" s="939"/>
      <c r="G14" s="939"/>
      <c r="H14" s="939"/>
      <c r="I14" s="939"/>
      <c r="J14" s="939"/>
      <c r="K14" s="939"/>
      <c r="L14" s="939"/>
      <c r="M14" s="939"/>
      <c r="N14" s="939"/>
      <c r="O14" s="939"/>
      <c r="P14" s="939"/>
      <c r="Q14" s="939"/>
      <c r="R14" s="939"/>
      <c r="S14" s="939"/>
      <c r="T14" s="939"/>
      <c r="U14" s="939"/>
      <c r="V14" s="939"/>
      <c r="W14" s="939"/>
      <c r="X14" s="1136"/>
      <c r="Y14" s="1137"/>
      <c r="AI14" s="214"/>
      <c r="AJ14" s="45"/>
      <c r="AK14" s="49"/>
      <c r="AR14" s="277"/>
    </row>
    <row r="15" spans="1:44" ht="12" customHeight="1" thickTop="1">
      <c r="A15" s="48"/>
      <c r="B15" s="45"/>
      <c r="C15" s="1119"/>
      <c r="D15" s="941"/>
      <c r="E15" s="941"/>
      <c r="F15" s="941"/>
      <c r="G15" s="941"/>
      <c r="H15" s="941"/>
      <c r="I15" s="941"/>
      <c r="J15" s="941"/>
      <c r="K15" s="941"/>
      <c r="L15" s="941"/>
      <c r="M15" s="941"/>
      <c r="N15" s="941"/>
      <c r="O15" s="941"/>
      <c r="P15" s="941"/>
      <c r="Q15" s="941"/>
      <c r="R15" s="941"/>
      <c r="S15" s="941"/>
      <c r="T15" s="941"/>
      <c r="U15" s="941"/>
      <c r="V15" s="941"/>
      <c r="W15" s="941"/>
      <c r="X15" s="1138"/>
      <c r="Y15" s="1139"/>
      <c r="AA15" s="718" t="s">
        <v>260</v>
      </c>
      <c r="AB15" s="719"/>
      <c r="AC15" s="719"/>
      <c r="AD15" s="719"/>
      <c r="AE15" s="719"/>
      <c r="AF15" s="719"/>
      <c r="AG15" s="719"/>
      <c r="AH15" s="719"/>
      <c r="AI15" s="720"/>
      <c r="AJ15" s="45"/>
      <c r="AK15" s="49"/>
    </row>
    <row r="16" spans="1:44" ht="12" customHeight="1">
      <c r="A16" s="48"/>
      <c r="B16" s="45"/>
      <c r="C16" s="1141" t="s">
        <v>157</v>
      </c>
      <c r="D16" s="866" t="s">
        <v>262</v>
      </c>
      <c r="E16" s="866"/>
      <c r="F16" s="866"/>
      <c r="G16" s="866"/>
      <c r="H16" s="866"/>
      <c r="I16" s="866"/>
      <c r="J16" s="866"/>
      <c r="K16" s="866"/>
      <c r="L16" s="866"/>
      <c r="M16" s="866"/>
      <c r="N16" s="866"/>
      <c r="O16" s="866"/>
      <c r="P16" s="866"/>
      <c r="Q16" s="866"/>
      <c r="R16" s="866"/>
      <c r="S16" s="866"/>
      <c r="T16" s="866"/>
      <c r="U16" s="866"/>
      <c r="V16" s="866"/>
      <c r="W16" s="866"/>
      <c r="X16" s="1144"/>
      <c r="Y16" s="1145"/>
      <c r="AA16" s="1126" t="s">
        <v>261</v>
      </c>
      <c r="AB16" s="1127"/>
      <c r="AC16" s="1127"/>
      <c r="AD16" s="1128" t="s">
        <v>5</v>
      </c>
      <c r="AE16" s="1127"/>
      <c r="AF16" s="1129"/>
      <c r="AG16" s="1127" t="s">
        <v>6</v>
      </c>
      <c r="AH16" s="1127"/>
      <c r="AI16" s="1130"/>
      <c r="AJ16" s="45"/>
      <c r="AK16" s="49"/>
    </row>
    <row r="17" spans="1:44" ht="12" customHeight="1" thickBot="1">
      <c r="A17" s="48"/>
      <c r="B17" s="45"/>
      <c r="C17" s="1141"/>
      <c r="D17" s="1140" t="s">
        <v>258</v>
      </c>
      <c r="E17" s="1140"/>
      <c r="F17" s="1140"/>
      <c r="G17" s="1140"/>
      <c r="H17" s="1140"/>
      <c r="I17" s="1140"/>
      <c r="J17" s="1140"/>
      <c r="K17" s="1140"/>
      <c r="L17" s="1140"/>
      <c r="M17" s="1140"/>
      <c r="N17" s="1140"/>
      <c r="O17" s="1140"/>
      <c r="P17" s="1140"/>
      <c r="Q17" s="1140"/>
      <c r="R17" s="1140"/>
      <c r="S17" s="1140"/>
      <c r="T17" s="1140"/>
      <c r="U17" s="1140"/>
      <c r="V17" s="1140"/>
      <c r="W17" s="1140"/>
      <c r="X17" s="1144"/>
      <c r="Y17" s="1145"/>
      <c r="AA17" s="1150" t="s">
        <v>94</v>
      </c>
      <c r="AB17" s="1151"/>
      <c r="AC17" s="1151"/>
      <c r="AD17" s="1152" t="s">
        <v>95</v>
      </c>
      <c r="AE17" s="1151"/>
      <c r="AF17" s="1153"/>
      <c r="AG17" s="1151" t="s">
        <v>95</v>
      </c>
      <c r="AH17" s="1151"/>
      <c r="AI17" s="1154"/>
      <c r="AJ17" s="45"/>
      <c r="AK17" s="49"/>
    </row>
    <row r="18" spans="1:44" ht="12" customHeight="1" thickBot="1">
      <c r="A18" s="48"/>
      <c r="B18" s="45"/>
      <c r="C18" s="1142" t="s">
        <v>158</v>
      </c>
      <c r="D18" s="933" t="s">
        <v>265</v>
      </c>
      <c r="E18" s="933"/>
      <c r="F18" s="933"/>
      <c r="G18" s="933"/>
      <c r="H18" s="933"/>
      <c r="I18" s="933"/>
      <c r="J18" s="933"/>
      <c r="K18" s="933"/>
      <c r="L18" s="933"/>
      <c r="M18" s="933"/>
      <c r="N18" s="933"/>
      <c r="O18" s="933"/>
      <c r="P18" s="933"/>
      <c r="Q18" s="933"/>
      <c r="R18" s="933"/>
      <c r="S18" s="933"/>
      <c r="T18" s="933"/>
      <c r="U18" s="933"/>
      <c r="V18" s="933"/>
      <c r="W18" s="933"/>
      <c r="X18" s="1146"/>
      <c r="Y18" s="1147"/>
      <c r="AA18" s="1155"/>
      <c r="AB18" s="1156"/>
      <c r="AC18" s="1156"/>
      <c r="AD18" s="1157"/>
      <c r="AE18" s="1158"/>
      <c r="AF18" s="1159"/>
      <c r="AG18" s="1158"/>
      <c r="AH18" s="1158"/>
      <c r="AI18" s="1160"/>
      <c r="AJ18" s="45"/>
      <c r="AK18" s="49"/>
    </row>
    <row r="19" spans="1:44" ht="12" customHeight="1" thickTop="1" thickBot="1">
      <c r="A19" s="48"/>
      <c r="B19" s="45"/>
      <c r="C19" s="1143"/>
      <c r="D19" s="937"/>
      <c r="E19" s="937"/>
      <c r="F19" s="937"/>
      <c r="G19" s="937"/>
      <c r="H19" s="937"/>
      <c r="I19" s="937"/>
      <c r="J19" s="937"/>
      <c r="K19" s="937"/>
      <c r="L19" s="937"/>
      <c r="M19" s="937"/>
      <c r="N19" s="937"/>
      <c r="O19" s="937"/>
      <c r="P19" s="937"/>
      <c r="Q19" s="937"/>
      <c r="R19" s="937"/>
      <c r="S19" s="937"/>
      <c r="T19" s="937"/>
      <c r="U19" s="937"/>
      <c r="V19" s="937"/>
      <c r="W19" s="937"/>
      <c r="X19" s="1148"/>
      <c r="Y19" s="1149"/>
      <c r="Z19" s="214"/>
      <c r="AA19" s="214"/>
      <c r="AB19" s="214"/>
      <c r="AC19" s="214"/>
      <c r="AD19" s="214"/>
      <c r="AE19" s="214"/>
      <c r="AF19" s="214"/>
      <c r="AG19" s="214"/>
      <c r="AH19" s="214"/>
      <c r="AI19" s="214"/>
      <c r="AJ19" s="45"/>
      <c r="AK19" s="49"/>
      <c r="AR19" s="277"/>
    </row>
    <row r="20" spans="1:44" ht="6" customHeight="1" thickTop="1" thickBot="1">
      <c r="A20" s="48"/>
      <c r="B20" s="45"/>
      <c r="C20" s="214"/>
      <c r="D20" s="214"/>
      <c r="E20" s="214"/>
      <c r="F20" s="214"/>
      <c r="G20" s="214"/>
      <c r="H20" s="214"/>
      <c r="I20" s="214"/>
      <c r="J20" s="214"/>
      <c r="K20" s="214"/>
      <c r="L20" s="214"/>
      <c r="M20" s="214"/>
      <c r="N20" s="214"/>
      <c r="O20" s="214"/>
      <c r="P20" s="214"/>
      <c r="Q20" s="214"/>
      <c r="R20" s="214"/>
      <c r="S20" s="214"/>
      <c r="T20" s="214"/>
      <c r="U20" s="214"/>
      <c r="V20" s="214"/>
      <c r="W20" s="214"/>
      <c r="X20" s="214"/>
      <c r="Y20" s="214"/>
      <c r="Z20" s="214"/>
      <c r="AA20" s="214"/>
      <c r="AB20" s="214"/>
      <c r="AC20" s="214"/>
      <c r="AD20" s="214"/>
      <c r="AE20" s="214"/>
      <c r="AF20" s="214"/>
      <c r="AG20" s="214"/>
      <c r="AH20" s="214"/>
      <c r="AI20" s="214"/>
      <c r="AJ20" s="45"/>
      <c r="AK20" s="49"/>
      <c r="AR20" s="277"/>
    </row>
    <row r="21" spans="1:44" ht="12" customHeight="1" thickBot="1">
      <c r="A21" s="48"/>
      <c r="B21" s="45"/>
      <c r="C21" s="1131" t="s">
        <v>266</v>
      </c>
      <c r="D21" s="1131"/>
      <c r="E21" s="1131"/>
      <c r="F21" s="1131"/>
      <c r="G21" s="1131"/>
      <c r="H21" s="1131"/>
      <c r="I21" s="1131"/>
      <c r="J21" s="1131"/>
      <c r="K21" s="1131"/>
      <c r="L21" s="1131"/>
      <c r="M21" s="1131"/>
      <c r="N21" s="1131"/>
      <c r="O21" s="1131"/>
      <c r="P21" s="1131"/>
      <c r="Q21" s="1131"/>
      <c r="R21" s="1131"/>
      <c r="S21" s="1131"/>
      <c r="T21" s="1131"/>
      <c r="U21" s="1131"/>
      <c r="V21" s="1131"/>
      <c r="W21" s="1131"/>
      <c r="X21" s="1131"/>
      <c r="Y21" s="1131"/>
      <c r="Z21" s="1131"/>
      <c r="AA21" s="1131"/>
      <c r="AB21" s="1132"/>
      <c r="AC21" s="1133"/>
      <c r="AD21" s="1134"/>
      <c r="AE21" s="430"/>
      <c r="AF21" s="430"/>
      <c r="AG21" s="430"/>
      <c r="AH21" s="430"/>
      <c r="AI21" s="430"/>
      <c r="AJ21" s="45"/>
      <c r="AK21" s="49"/>
      <c r="AR21" s="277"/>
    </row>
    <row r="22" spans="1:44" ht="6" customHeight="1">
      <c r="A22" s="48"/>
      <c r="B22" s="45"/>
      <c r="C22" s="214"/>
      <c r="D22" s="214"/>
      <c r="E22" s="214"/>
      <c r="F22" s="214"/>
      <c r="G22" s="214"/>
      <c r="H22" s="214"/>
      <c r="I22" s="214"/>
      <c r="J22" s="214"/>
      <c r="K22" s="214"/>
      <c r="L22" s="214"/>
      <c r="M22" s="214"/>
      <c r="N22" s="214"/>
      <c r="O22" s="214"/>
      <c r="P22" s="214"/>
      <c r="Q22" s="214"/>
      <c r="R22" s="214"/>
      <c r="S22" s="214"/>
      <c r="T22" s="214"/>
      <c r="U22" s="214"/>
      <c r="V22" s="214"/>
      <c r="W22" s="214"/>
      <c r="X22" s="214"/>
      <c r="Y22" s="214"/>
      <c r="Z22" s="214"/>
      <c r="AA22" s="214"/>
      <c r="AB22" s="214"/>
      <c r="AC22" s="214"/>
      <c r="AD22" s="214"/>
      <c r="AE22" s="214"/>
      <c r="AF22" s="214"/>
      <c r="AG22" s="214"/>
      <c r="AH22" s="214"/>
      <c r="AI22" s="214"/>
      <c r="AJ22" s="45"/>
      <c r="AK22" s="49"/>
      <c r="AR22" s="277"/>
    </row>
    <row r="23" spans="1:44" ht="12" customHeight="1">
      <c r="A23" s="48"/>
      <c r="B23" s="45"/>
      <c r="C23" s="1121"/>
      <c r="D23" s="1121"/>
      <c r="E23" s="1121"/>
      <c r="F23" s="1121"/>
      <c r="G23" s="1121"/>
      <c r="H23" s="1121"/>
      <c r="I23" s="1121"/>
      <c r="J23" s="1121"/>
      <c r="K23" s="1121"/>
      <c r="L23" s="1121"/>
      <c r="M23" s="1121"/>
      <c r="N23" s="1121"/>
      <c r="O23" s="1121"/>
      <c r="P23" s="1121"/>
      <c r="Q23" s="1121"/>
      <c r="R23" s="1121"/>
      <c r="S23" s="45"/>
      <c r="T23" s="1121"/>
      <c r="U23" s="1121"/>
      <c r="V23" s="1121"/>
      <c r="W23" s="1121"/>
      <c r="X23" s="1121"/>
      <c r="Y23" s="1121"/>
      <c r="Z23" s="1121"/>
      <c r="AA23" s="1121"/>
      <c r="AB23" s="1121"/>
      <c r="AC23" s="1121"/>
      <c r="AD23" s="1121"/>
      <c r="AE23" s="1121"/>
      <c r="AF23" s="1121"/>
      <c r="AG23" s="1121"/>
      <c r="AH23" s="1121"/>
      <c r="AI23" s="1121"/>
      <c r="AJ23" s="45"/>
      <c r="AK23" s="49"/>
    </row>
    <row r="24" spans="1:44" ht="12" customHeight="1">
      <c r="A24" s="48"/>
      <c r="B24" s="45"/>
      <c r="C24" s="1121"/>
      <c r="D24" s="1121"/>
      <c r="E24" s="1121"/>
      <c r="F24" s="1121"/>
      <c r="G24" s="1121"/>
      <c r="H24" s="1121"/>
      <c r="I24" s="1121"/>
      <c r="J24" s="1121"/>
      <c r="K24" s="1121"/>
      <c r="L24" s="1121"/>
      <c r="M24" s="1121"/>
      <c r="N24" s="1121"/>
      <c r="O24" s="1121"/>
      <c r="P24" s="1121"/>
      <c r="Q24" s="1121"/>
      <c r="R24" s="1121"/>
      <c r="S24" s="45"/>
      <c r="T24" s="1121"/>
      <c r="U24" s="1121"/>
      <c r="V24" s="1121"/>
      <c r="W24" s="1121"/>
      <c r="X24" s="1121"/>
      <c r="Y24" s="1121"/>
      <c r="Z24" s="1121"/>
      <c r="AA24" s="1121"/>
      <c r="AB24" s="1121"/>
      <c r="AC24" s="1121"/>
      <c r="AD24" s="1121"/>
      <c r="AE24" s="1121"/>
      <c r="AF24" s="1121"/>
      <c r="AG24" s="1121"/>
      <c r="AH24" s="1121"/>
      <c r="AI24" s="1121"/>
      <c r="AJ24" s="45"/>
      <c r="AK24" s="49"/>
    </row>
    <row r="25" spans="1:44" ht="12" customHeight="1">
      <c r="A25" s="48"/>
      <c r="B25" s="45"/>
      <c r="C25" s="1121"/>
      <c r="D25" s="1121"/>
      <c r="E25" s="1121"/>
      <c r="F25" s="1121"/>
      <c r="G25" s="1121"/>
      <c r="H25" s="1121"/>
      <c r="I25" s="1121"/>
      <c r="J25" s="1121"/>
      <c r="K25" s="1121"/>
      <c r="L25" s="1121"/>
      <c r="M25" s="1121"/>
      <c r="N25" s="1121"/>
      <c r="O25" s="1121"/>
      <c r="P25" s="1121"/>
      <c r="Q25" s="1121"/>
      <c r="R25" s="1121"/>
      <c r="S25" s="45"/>
      <c r="T25" s="1121"/>
      <c r="U25" s="1121"/>
      <c r="V25" s="1121"/>
      <c r="W25" s="1121"/>
      <c r="X25" s="1121"/>
      <c r="Y25" s="1121"/>
      <c r="Z25" s="1121"/>
      <c r="AA25" s="1121"/>
      <c r="AB25" s="1121"/>
      <c r="AC25" s="1121"/>
      <c r="AD25" s="1121"/>
      <c r="AE25" s="1121"/>
      <c r="AF25" s="1121"/>
      <c r="AG25" s="1121"/>
      <c r="AH25" s="1121"/>
      <c r="AI25" s="1121"/>
      <c r="AJ25" s="45"/>
      <c r="AK25" s="49"/>
    </row>
    <row r="26" spans="1:44" ht="12" customHeight="1">
      <c r="A26" s="48"/>
      <c r="B26" s="45"/>
      <c r="C26" s="1121"/>
      <c r="D26" s="1121"/>
      <c r="E26" s="1121"/>
      <c r="F26" s="1121"/>
      <c r="G26" s="1121"/>
      <c r="H26" s="1121"/>
      <c r="I26" s="1121"/>
      <c r="J26" s="1121"/>
      <c r="K26" s="1121"/>
      <c r="L26" s="1121"/>
      <c r="M26" s="1121"/>
      <c r="N26" s="1121"/>
      <c r="O26" s="1121"/>
      <c r="P26" s="1121"/>
      <c r="Q26" s="1121"/>
      <c r="R26" s="1121"/>
      <c r="S26" s="45"/>
      <c r="T26" s="1121"/>
      <c r="U26" s="1121"/>
      <c r="V26" s="1121"/>
      <c r="W26" s="1121"/>
      <c r="X26" s="1121"/>
      <c r="Y26" s="1121"/>
      <c r="Z26" s="1121"/>
      <c r="AA26" s="1121"/>
      <c r="AB26" s="1121"/>
      <c r="AC26" s="1121"/>
      <c r="AD26" s="1121"/>
      <c r="AE26" s="1121"/>
      <c r="AF26" s="1121"/>
      <c r="AG26" s="1121"/>
      <c r="AH26" s="1121"/>
      <c r="AI26" s="1121"/>
      <c r="AJ26" s="45"/>
      <c r="AK26" s="49"/>
    </row>
    <row r="27" spans="1:44" ht="12" customHeight="1">
      <c r="A27" s="48"/>
      <c r="B27" s="45"/>
      <c r="C27" s="1121"/>
      <c r="D27" s="1121"/>
      <c r="E27" s="1121"/>
      <c r="F27" s="1121"/>
      <c r="G27" s="1121"/>
      <c r="H27" s="1121"/>
      <c r="I27" s="1121"/>
      <c r="J27" s="1121"/>
      <c r="K27" s="1121"/>
      <c r="L27" s="1121"/>
      <c r="M27" s="1121"/>
      <c r="N27" s="1121"/>
      <c r="O27" s="1121"/>
      <c r="P27" s="1121"/>
      <c r="Q27" s="1121"/>
      <c r="R27" s="1121"/>
      <c r="S27" s="45"/>
      <c r="T27" s="1121"/>
      <c r="U27" s="1121"/>
      <c r="V27" s="1121"/>
      <c r="W27" s="1121"/>
      <c r="X27" s="1121"/>
      <c r="Y27" s="1121"/>
      <c r="Z27" s="1121"/>
      <c r="AA27" s="1121"/>
      <c r="AB27" s="1121"/>
      <c r="AC27" s="1121"/>
      <c r="AD27" s="1121"/>
      <c r="AE27" s="1121"/>
      <c r="AF27" s="1121"/>
      <c r="AG27" s="1121"/>
      <c r="AH27" s="1121"/>
      <c r="AI27" s="1121"/>
      <c r="AJ27" s="45"/>
      <c r="AK27" s="49"/>
    </row>
    <row r="28" spans="1:44" ht="12" customHeight="1">
      <c r="A28" s="48"/>
      <c r="B28" s="45"/>
      <c r="C28" s="1121"/>
      <c r="D28" s="1121"/>
      <c r="E28" s="1121"/>
      <c r="F28" s="1121"/>
      <c r="G28" s="1121"/>
      <c r="H28" s="1121"/>
      <c r="I28" s="1121"/>
      <c r="J28" s="1121"/>
      <c r="K28" s="1121"/>
      <c r="L28" s="1121"/>
      <c r="M28" s="1121"/>
      <c r="N28" s="1121"/>
      <c r="O28" s="1121"/>
      <c r="P28" s="1121"/>
      <c r="Q28" s="1121"/>
      <c r="R28" s="1121"/>
      <c r="S28" s="45"/>
      <c r="T28" s="1121"/>
      <c r="U28" s="1121"/>
      <c r="V28" s="1121"/>
      <c r="W28" s="1121"/>
      <c r="X28" s="1121"/>
      <c r="Y28" s="1121"/>
      <c r="Z28" s="1121"/>
      <c r="AA28" s="1121"/>
      <c r="AB28" s="1121"/>
      <c r="AC28" s="1121"/>
      <c r="AD28" s="1121"/>
      <c r="AE28" s="1121"/>
      <c r="AF28" s="1121"/>
      <c r="AG28" s="1121"/>
      <c r="AH28" s="1121"/>
      <c r="AI28" s="1121"/>
      <c r="AJ28" s="45"/>
      <c r="AK28" s="49"/>
    </row>
    <row r="29" spans="1:44" ht="12" customHeight="1">
      <c r="A29" s="48"/>
      <c r="B29" s="45"/>
      <c r="C29" s="1121"/>
      <c r="D29" s="1121"/>
      <c r="E29" s="1121"/>
      <c r="F29" s="1121"/>
      <c r="G29" s="1121"/>
      <c r="H29" s="1121"/>
      <c r="I29" s="1121"/>
      <c r="J29" s="1121"/>
      <c r="K29" s="1121"/>
      <c r="L29" s="1121"/>
      <c r="M29" s="1121"/>
      <c r="N29" s="1121"/>
      <c r="O29" s="1121"/>
      <c r="P29" s="1121"/>
      <c r="Q29" s="1121"/>
      <c r="R29" s="1121"/>
      <c r="S29" s="45"/>
      <c r="T29" s="1121"/>
      <c r="U29" s="1121"/>
      <c r="V29" s="1121"/>
      <c r="W29" s="1121"/>
      <c r="X29" s="1121"/>
      <c r="Y29" s="1121"/>
      <c r="Z29" s="1121"/>
      <c r="AA29" s="1121"/>
      <c r="AB29" s="1121"/>
      <c r="AC29" s="1121"/>
      <c r="AD29" s="1121"/>
      <c r="AE29" s="1121"/>
      <c r="AF29" s="1121"/>
      <c r="AG29" s="1121"/>
      <c r="AH29" s="1121"/>
      <c r="AI29" s="1121"/>
      <c r="AJ29" s="45"/>
      <c r="AK29" s="49"/>
    </row>
    <row r="30" spans="1:44" ht="12" customHeight="1">
      <c r="A30" s="48"/>
      <c r="B30" s="45"/>
      <c r="C30" s="1121"/>
      <c r="D30" s="1121"/>
      <c r="E30" s="1121"/>
      <c r="F30" s="1121"/>
      <c r="G30" s="1121"/>
      <c r="H30" s="1121"/>
      <c r="I30" s="1121"/>
      <c r="J30" s="1121"/>
      <c r="K30" s="1121"/>
      <c r="L30" s="1121"/>
      <c r="M30" s="1121"/>
      <c r="N30" s="1121"/>
      <c r="O30" s="1121"/>
      <c r="P30" s="1121"/>
      <c r="Q30" s="1121"/>
      <c r="R30" s="1121"/>
      <c r="S30" s="45"/>
      <c r="T30" s="1121"/>
      <c r="U30" s="1121"/>
      <c r="V30" s="1121"/>
      <c r="W30" s="1121"/>
      <c r="X30" s="1121"/>
      <c r="Y30" s="1121"/>
      <c r="Z30" s="1121"/>
      <c r="AA30" s="1121"/>
      <c r="AB30" s="1121"/>
      <c r="AC30" s="1121"/>
      <c r="AD30" s="1121"/>
      <c r="AE30" s="1121"/>
      <c r="AF30" s="1121"/>
      <c r="AG30" s="1121"/>
      <c r="AH30" s="1121"/>
      <c r="AI30" s="1121"/>
      <c r="AJ30" s="45"/>
      <c r="AK30" s="49"/>
    </row>
    <row r="31" spans="1:44" ht="12" customHeight="1">
      <c r="A31" s="48"/>
      <c r="B31" s="45"/>
      <c r="C31" s="1121"/>
      <c r="D31" s="1121"/>
      <c r="E31" s="1121"/>
      <c r="F31" s="1121"/>
      <c r="G31" s="1121"/>
      <c r="H31" s="1121"/>
      <c r="I31" s="1121"/>
      <c r="J31" s="1121"/>
      <c r="K31" s="1121"/>
      <c r="L31" s="1121"/>
      <c r="M31" s="1121"/>
      <c r="N31" s="1121"/>
      <c r="O31" s="1121"/>
      <c r="P31" s="1121"/>
      <c r="Q31" s="1121"/>
      <c r="R31" s="1121"/>
      <c r="S31" s="45"/>
      <c r="T31" s="1121"/>
      <c r="U31" s="1121"/>
      <c r="V31" s="1121"/>
      <c r="W31" s="1121"/>
      <c r="X31" s="1121"/>
      <c r="Y31" s="1121"/>
      <c r="Z31" s="1121"/>
      <c r="AA31" s="1121"/>
      <c r="AB31" s="1121"/>
      <c r="AC31" s="1121"/>
      <c r="AD31" s="1121"/>
      <c r="AE31" s="1121"/>
      <c r="AF31" s="1121"/>
      <c r="AG31" s="1121"/>
      <c r="AH31" s="1121"/>
      <c r="AI31" s="1121"/>
      <c r="AJ31" s="45"/>
      <c r="AK31" s="49"/>
    </row>
    <row r="32" spans="1:44" ht="12" customHeight="1">
      <c r="A32" s="48"/>
      <c r="B32" s="45"/>
      <c r="C32" s="1121"/>
      <c r="D32" s="1121"/>
      <c r="E32" s="1121"/>
      <c r="F32" s="1121"/>
      <c r="G32" s="1121"/>
      <c r="H32" s="1121"/>
      <c r="I32" s="1121"/>
      <c r="J32" s="1121"/>
      <c r="K32" s="1121"/>
      <c r="L32" s="1121"/>
      <c r="M32" s="1121"/>
      <c r="N32" s="1121"/>
      <c r="O32" s="1121"/>
      <c r="P32" s="1121"/>
      <c r="Q32" s="1121"/>
      <c r="R32" s="1121"/>
      <c r="S32" s="45"/>
      <c r="T32" s="1121"/>
      <c r="U32" s="1121"/>
      <c r="V32" s="1121"/>
      <c r="W32" s="1121"/>
      <c r="X32" s="1121"/>
      <c r="Y32" s="1121"/>
      <c r="Z32" s="1121"/>
      <c r="AA32" s="1121"/>
      <c r="AB32" s="1121"/>
      <c r="AC32" s="1121"/>
      <c r="AD32" s="1121"/>
      <c r="AE32" s="1121"/>
      <c r="AF32" s="1121"/>
      <c r="AG32" s="1121"/>
      <c r="AH32" s="1121"/>
      <c r="AI32" s="1121"/>
      <c r="AJ32" s="45"/>
      <c r="AK32" s="49"/>
    </row>
    <row r="33" spans="1:37" ht="12" customHeight="1">
      <c r="A33" s="48"/>
      <c r="B33" s="45"/>
      <c r="C33" s="1121"/>
      <c r="D33" s="1121"/>
      <c r="E33" s="1121"/>
      <c r="F33" s="1121"/>
      <c r="G33" s="1121"/>
      <c r="H33" s="1121"/>
      <c r="I33" s="1121"/>
      <c r="J33" s="1121"/>
      <c r="K33" s="1121"/>
      <c r="L33" s="1121"/>
      <c r="M33" s="1121"/>
      <c r="N33" s="1121"/>
      <c r="O33" s="1121"/>
      <c r="P33" s="1121"/>
      <c r="Q33" s="1121"/>
      <c r="R33" s="1121"/>
      <c r="S33" s="45"/>
      <c r="T33" s="1121"/>
      <c r="U33" s="1121"/>
      <c r="V33" s="1121"/>
      <c r="W33" s="1121"/>
      <c r="X33" s="1121"/>
      <c r="Y33" s="1121"/>
      <c r="Z33" s="1121"/>
      <c r="AA33" s="1121"/>
      <c r="AB33" s="1121"/>
      <c r="AC33" s="1121"/>
      <c r="AD33" s="1121"/>
      <c r="AE33" s="1121"/>
      <c r="AF33" s="1121"/>
      <c r="AG33" s="1121"/>
      <c r="AH33" s="1121"/>
      <c r="AI33" s="1121"/>
      <c r="AJ33" s="45"/>
      <c r="AK33" s="49"/>
    </row>
    <row r="34" spans="1:37" ht="12" customHeight="1">
      <c r="A34" s="48"/>
      <c r="B34" s="45"/>
      <c r="C34" s="1121"/>
      <c r="D34" s="1121"/>
      <c r="E34" s="1121"/>
      <c r="F34" s="1121"/>
      <c r="G34" s="1121"/>
      <c r="H34" s="1121"/>
      <c r="I34" s="1121"/>
      <c r="J34" s="1121"/>
      <c r="K34" s="1121"/>
      <c r="L34" s="1121"/>
      <c r="M34" s="1121"/>
      <c r="N34" s="1121"/>
      <c r="O34" s="1121"/>
      <c r="P34" s="1121"/>
      <c r="Q34" s="1121"/>
      <c r="R34" s="1121"/>
      <c r="S34" s="45"/>
      <c r="T34" s="1121"/>
      <c r="U34" s="1121"/>
      <c r="V34" s="1121"/>
      <c r="W34" s="1121"/>
      <c r="X34" s="1121"/>
      <c r="Y34" s="1121"/>
      <c r="Z34" s="1121"/>
      <c r="AA34" s="1121"/>
      <c r="AB34" s="1121"/>
      <c r="AC34" s="1121"/>
      <c r="AD34" s="1121"/>
      <c r="AE34" s="1121"/>
      <c r="AF34" s="1121"/>
      <c r="AG34" s="1121"/>
      <c r="AH34" s="1121"/>
      <c r="AI34" s="1121"/>
      <c r="AJ34" s="45"/>
      <c r="AK34" s="49"/>
    </row>
    <row r="35" spans="1:37" ht="12" customHeight="1">
      <c r="A35" s="48"/>
      <c r="B35" s="45"/>
      <c r="C35" s="1121"/>
      <c r="D35" s="1121"/>
      <c r="E35" s="1121"/>
      <c r="F35" s="1121"/>
      <c r="G35" s="1121"/>
      <c r="H35" s="1121"/>
      <c r="I35" s="1121"/>
      <c r="J35" s="1121"/>
      <c r="K35" s="1121"/>
      <c r="L35" s="1121"/>
      <c r="M35" s="1121"/>
      <c r="N35" s="1121"/>
      <c r="O35" s="1121"/>
      <c r="P35" s="1121"/>
      <c r="Q35" s="1121"/>
      <c r="R35" s="1121"/>
      <c r="S35" s="45"/>
      <c r="T35" s="1121"/>
      <c r="U35" s="1121"/>
      <c r="V35" s="1121"/>
      <c r="W35" s="1121"/>
      <c r="X35" s="1121"/>
      <c r="Y35" s="1121"/>
      <c r="Z35" s="1121"/>
      <c r="AA35" s="1121"/>
      <c r="AB35" s="1121"/>
      <c r="AC35" s="1121"/>
      <c r="AD35" s="1121"/>
      <c r="AE35" s="1121"/>
      <c r="AF35" s="1121"/>
      <c r="AG35" s="1121"/>
      <c r="AH35" s="1121"/>
      <c r="AI35" s="1121"/>
      <c r="AJ35" s="45"/>
      <c r="AK35" s="49"/>
    </row>
    <row r="36" spans="1:37" ht="11.1" customHeight="1">
      <c r="A36" s="48"/>
      <c r="B36" s="45"/>
      <c r="C36" s="1123" t="s">
        <v>197</v>
      </c>
      <c r="D36" s="1123"/>
      <c r="E36" s="1123"/>
      <c r="F36" s="1123"/>
      <c r="G36" s="1123"/>
      <c r="H36" s="1123"/>
      <c r="I36" s="1123"/>
      <c r="J36" s="1123"/>
      <c r="K36" s="1123"/>
      <c r="L36" s="1123"/>
      <c r="M36" s="1123"/>
      <c r="N36" s="1123"/>
      <c r="O36" s="1123"/>
      <c r="P36" s="1123"/>
      <c r="Q36" s="1123"/>
      <c r="R36" s="1123"/>
      <c r="S36" s="45"/>
      <c r="T36" s="1123" t="s">
        <v>198</v>
      </c>
      <c r="U36" s="1123"/>
      <c r="V36" s="1123"/>
      <c r="W36" s="1123"/>
      <c r="X36" s="1123"/>
      <c r="Y36" s="1123"/>
      <c r="Z36" s="1123"/>
      <c r="AA36" s="1123"/>
      <c r="AB36" s="1123"/>
      <c r="AC36" s="1123"/>
      <c r="AD36" s="1123"/>
      <c r="AE36" s="1123"/>
      <c r="AF36" s="1123"/>
      <c r="AG36" s="1123"/>
      <c r="AH36" s="1123"/>
      <c r="AI36" s="1123"/>
      <c r="AJ36" s="45"/>
      <c r="AK36" s="49"/>
    </row>
    <row r="37" spans="1:37" ht="18" customHeight="1">
      <c r="A37" s="48"/>
      <c r="B37" s="45"/>
      <c r="C37" s="768" t="s">
        <v>199</v>
      </c>
      <c r="D37" s="768"/>
      <c r="E37" s="768"/>
      <c r="F37" s="768"/>
      <c r="G37" s="768"/>
      <c r="H37" s="768"/>
      <c r="I37" s="768"/>
      <c r="J37" s="768"/>
      <c r="K37" s="768"/>
      <c r="L37" s="768"/>
      <c r="M37" s="768"/>
      <c r="N37" s="768"/>
      <c r="O37" s="768"/>
      <c r="P37" s="768"/>
      <c r="Q37" s="768"/>
      <c r="R37" s="768"/>
      <c r="S37" s="768"/>
      <c r="T37" s="768"/>
      <c r="U37" s="768"/>
      <c r="V37" s="768"/>
      <c r="W37" s="768"/>
      <c r="X37" s="768"/>
      <c r="Y37" s="768"/>
      <c r="Z37" s="768"/>
      <c r="AA37" s="768"/>
      <c r="AB37" s="768"/>
      <c r="AC37" s="768"/>
      <c r="AD37" s="768"/>
      <c r="AE37" s="768"/>
      <c r="AF37" s="768"/>
      <c r="AG37" s="768"/>
      <c r="AH37" s="768"/>
      <c r="AI37" s="768"/>
      <c r="AJ37" s="45"/>
      <c r="AK37" s="49"/>
    </row>
    <row r="38" spans="1:37" ht="14.1" customHeight="1">
      <c r="A38" s="48"/>
      <c r="B38" s="45"/>
      <c r="C38" s="1120" t="str">
        <f>IF(AP7=1,C36,T36)</f>
        <v>(One Approach Lane at the Track Crossing)</v>
      </c>
      <c r="D38" s="1120"/>
      <c r="E38" s="1120"/>
      <c r="F38" s="1120"/>
      <c r="G38" s="1120"/>
      <c r="H38" s="1120"/>
      <c r="I38" s="1120"/>
      <c r="J38" s="1120"/>
      <c r="K38" s="1120"/>
      <c r="L38" s="1120"/>
      <c r="M38" s="1120"/>
      <c r="N38" s="1120"/>
      <c r="O38" s="1120"/>
      <c r="P38" s="1120"/>
      <c r="Q38" s="1120"/>
      <c r="R38" s="1120"/>
      <c r="S38" s="1120"/>
      <c r="T38" s="1120"/>
      <c r="U38" s="1120"/>
      <c r="V38" s="1120"/>
      <c r="W38" s="1120"/>
      <c r="X38" s="1120"/>
      <c r="Y38" s="1120"/>
      <c r="Z38" s="1120"/>
      <c r="AA38" s="1120"/>
      <c r="AB38" s="1120"/>
      <c r="AC38" s="1120"/>
      <c r="AD38" s="1120"/>
      <c r="AE38" s="1120"/>
      <c r="AF38" s="1120"/>
      <c r="AG38" s="1120"/>
      <c r="AH38" s="1120"/>
      <c r="AI38" s="1120"/>
      <c r="AJ38" s="45"/>
      <c r="AK38" s="49"/>
    </row>
    <row r="39" spans="1:37" ht="12" customHeight="1">
      <c r="A39" s="48"/>
      <c r="B39" s="45"/>
      <c r="C39" s="45"/>
      <c r="D39" s="45"/>
      <c r="E39" s="45"/>
      <c r="F39" s="45"/>
      <c r="G39" s="45"/>
      <c r="H39" s="45"/>
      <c r="I39" s="45"/>
      <c r="J39" s="45"/>
      <c r="K39" s="45"/>
      <c r="L39" s="45"/>
      <c r="M39" s="45"/>
      <c r="N39" s="45"/>
      <c r="O39" s="45"/>
      <c r="P39" s="45"/>
      <c r="Q39" s="45"/>
      <c r="R39" s="45"/>
      <c r="S39" s="45"/>
      <c r="T39" s="45"/>
      <c r="U39" s="45"/>
      <c r="V39" s="45"/>
      <c r="W39" s="45"/>
      <c r="X39" s="45"/>
      <c r="Y39" s="45"/>
      <c r="Z39" s="45"/>
      <c r="AA39" s="45"/>
      <c r="AB39" s="45"/>
      <c r="AC39" s="45"/>
      <c r="AD39" s="45"/>
      <c r="AE39" s="45"/>
      <c r="AF39" s="45"/>
      <c r="AG39" s="45"/>
      <c r="AH39" s="45"/>
      <c r="AI39" s="45"/>
      <c r="AJ39" s="45"/>
      <c r="AK39" s="49"/>
    </row>
    <row r="40" spans="1:37" ht="12" customHeight="1">
      <c r="A40" s="48"/>
      <c r="B40" s="45"/>
      <c r="C40" s="45"/>
      <c r="D40" s="45"/>
      <c r="E40" s="45"/>
      <c r="F40" s="45"/>
      <c r="G40" s="45"/>
      <c r="H40" s="45"/>
      <c r="I40" s="45"/>
      <c r="J40" s="45"/>
      <c r="K40" s="45"/>
      <c r="L40" s="45"/>
      <c r="M40" s="45"/>
      <c r="N40" s="45"/>
      <c r="O40" s="45"/>
      <c r="P40" s="45"/>
      <c r="Q40" s="45"/>
      <c r="R40" s="45"/>
      <c r="S40" s="45"/>
      <c r="T40" s="45"/>
      <c r="U40" s="45"/>
      <c r="V40" s="45"/>
      <c r="W40" s="45"/>
      <c r="X40" s="45"/>
      <c r="Y40" s="45"/>
      <c r="Z40" s="45"/>
      <c r="AA40" s="45"/>
      <c r="AB40" s="45"/>
      <c r="AC40" s="45"/>
      <c r="AD40" s="45"/>
      <c r="AE40" s="45"/>
      <c r="AF40" s="45"/>
      <c r="AG40" s="45"/>
      <c r="AH40" s="45"/>
      <c r="AI40" s="45"/>
      <c r="AJ40" s="45"/>
      <c r="AK40" s="49"/>
    </row>
    <row r="41" spans="1:37" ht="12" customHeight="1">
      <c r="A41" s="48"/>
      <c r="B41" s="45"/>
      <c r="C41" s="45"/>
      <c r="D41" s="45"/>
      <c r="E41" s="45"/>
      <c r="F41" s="45"/>
      <c r="G41" s="45"/>
      <c r="H41" s="45"/>
      <c r="I41" s="45"/>
      <c r="J41" s="45"/>
      <c r="K41" s="45"/>
      <c r="L41" s="45"/>
      <c r="M41" s="45"/>
      <c r="N41" s="45"/>
      <c r="O41" s="45"/>
      <c r="P41" s="45"/>
      <c r="Q41" s="45"/>
      <c r="R41" s="45"/>
      <c r="S41" s="45"/>
      <c r="T41" s="45"/>
      <c r="U41" s="45"/>
      <c r="V41" s="45"/>
      <c r="W41" s="45"/>
      <c r="X41" s="45"/>
      <c r="Y41" s="45"/>
      <c r="Z41" s="45"/>
      <c r="AA41" s="45"/>
      <c r="AB41" s="45"/>
      <c r="AC41" s="45"/>
      <c r="AD41" s="45"/>
      <c r="AE41" s="45"/>
      <c r="AF41" s="45"/>
      <c r="AG41" s="45"/>
      <c r="AH41" s="45"/>
      <c r="AI41" s="45"/>
      <c r="AJ41" s="45"/>
      <c r="AK41" s="49"/>
    </row>
    <row r="42" spans="1:37" ht="12" customHeight="1">
      <c r="A42" s="48"/>
      <c r="B42" s="45"/>
      <c r="C42" s="45"/>
      <c r="D42" s="45"/>
      <c r="E42" s="45"/>
      <c r="F42" s="45"/>
      <c r="G42" s="45"/>
      <c r="H42" s="45"/>
      <c r="I42" s="45"/>
      <c r="J42" s="45"/>
      <c r="K42" s="45"/>
      <c r="L42" s="45"/>
      <c r="M42" s="45"/>
      <c r="N42" s="45"/>
      <c r="O42" s="45"/>
      <c r="P42" s="45"/>
      <c r="Q42" s="45"/>
      <c r="R42" s="45"/>
      <c r="S42" s="45"/>
      <c r="T42" s="45"/>
      <c r="U42" s="45"/>
      <c r="V42" s="45"/>
      <c r="W42" s="45"/>
      <c r="X42" s="45"/>
      <c r="Y42" s="45"/>
      <c r="Z42" s="45"/>
      <c r="AA42" s="45"/>
      <c r="AB42" s="45"/>
      <c r="AC42" s="45"/>
      <c r="AD42" s="45"/>
      <c r="AE42" s="45"/>
      <c r="AF42" s="45"/>
      <c r="AG42" s="45"/>
      <c r="AH42" s="45"/>
      <c r="AI42" s="45"/>
      <c r="AJ42" s="45"/>
      <c r="AK42" s="49"/>
    </row>
    <row r="43" spans="1:37" ht="12" customHeight="1">
      <c r="A43" s="48"/>
      <c r="B43" s="45"/>
      <c r="C43" s="45"/>
      <c r="D43" s="45"/>
      <c r="E43" s="45"/>
      <c r="F43" s="45"/>
      <c r="G43" s="45"/>
      <c r="H43" s="45"/>
      <c r="I43" s="45"/>
      <c r="J43" s="45"/>
      <c r="K43" s="45"/>
      <c r="L43" s="45"/>
      <c r="M43" s="45"/>
      <c r="N43" s="45"/>
      <c r="O43" s="45"/>
      <c r="P43" s="45"/>
      <c r="Q43" s="45"/>
      <c r="R43" s="45"/>
      <c r="S43" s="45"/>
      <c r="T43" s="45"/>
      <c r="U43" s="45"/>
      <c r="V43" s="45"/>
      <c r="W43" s="45"/>
      <c r="X43" s="45"/>
      <c r="Y43" s="45"/>
      <c r="Z43" s="45"/>
      <c r="AA43" s="45"/>
      <c r="AB43" s="45"/>
      <c r="AC43" s="45"/>
      <c r="AD43" s="45"/>
      <c r="AE43" s="45"/>
      <c r="AF43" s="45"/>
      <c r="AG43" s="45"/>
      <c r="AH43" s="45"/>
      <c r="AI43" s="45"/>
      <c r="AJ43" s="45"/>
      <c r="AK43" s="49"/>
    </row>
    <row r="44" spans="1:37" ht="12" customHeight="1">
      <c r="A44" s="48"/>
      <c r="B44" s="45"/>
      <c r="C44" s="45"/>
      <c r="D44" s="45"/>
      <c r="E44" s="45"/>
      <c r="F44" s="45"/>
      <c r="G44" s="45"/>
      <c r="H44" s="45"/>
      <c r="I44" s="45"/>
      <c r="J44" s="45"/>
      <c r="K44" s="45"/>
      <c r="L44" s="45"/>
      <c r="M44" s="45"/>
      <c r="N44" s="45"/>
      <c r="O44" s="45"/>
      <c r="P44" s="45"/>
      <c r="Q44" s="45"/>
      <c r="R44" s="45"/>
      <c r="S44" s="45"/>
      <c r="T44" s="45"/>
      <c r="U44" s="45"/>
      <c r="V44" s="45"/>
      <c r="W44" s="45"/>
      <c r="X44" s="45"/>
      <c r="Y44" s="45"/>
      <c r="Z44" s="45"/>
      <c r="AA44" s="45"/>
      <c r="AB44" s="45"/>
      <c r="AC44" s="45"/>
      <c r="AD44" s="45"/>
      <c r="AE44" s="45"/>
      <c r="AF44" s="45"/>
      <c r="AG44" s="45"/>
      <c r="AH44" s="45"/>
      <c r="AI44" s="45"/>
      <c r="AJ44" s="45"/>
      <c r="AK44" s="49"/>
    </row>
    <row r="45" spans="1:37" ht="12" customHeight="1">
      <c r="A45" s="48"/>
      <c r="B45" s="45"/>
      <c r="C45" s="45"/>
      <c r="D45" s="45"/>
      <c r="E45" s="45"/>
      <c r="F45" s="45"/>
      <c r="G45" s="45"/>
      <c r="H45" s="45"/>
      <c r="I45" s="45"/>
      <c r="J45" s="45"/>
      <c r="K45" s="45"/>
      <c r="L45" s="45"/>
      <c r="M45" s="45"/>
      <c r="N45" s="45"/>
      <c r="O45" s="45"/>
      <c r="P45" s="45"/>
      <c r="Q45" s="45"/>
      <c r="R45" s="45"/>
      <c r="S45" s="45"/>
      <c r="T45" s="45"/>
      <c r="U45" s="45"/>
      <c r="V45" s="45"/>
      <c r="W45" s="45"/>
      <c r="X45" s="45"/>
      <c r="Y45" s="45"/>
      <c r="Z45" s="45"/>
      <c r="AA45" s="45"/>
      <c r="AB45" s="45"/>
      <c r="AC45" s="45"/>
      <c r="AD45" s="45"/>
      <c r="AE45" s="45"/>
      <c r="AF45" s="45"/>
      <c r="AG45" s="45"/>
      <c r="AH45" s="45"/>
      <c r="AI45" s="45"/>
      <c r="AJ45" s="45"/>
      <c r="AK45" s="49"/>
    </row>
    <row r="46" spans="1:37" ht="12" customHeight="1">
      <c r="A46" s="48"/>
      <c r="B46" s="45"/>
      <c r="C46" s="45"/>
      <c r="D46" s="45"/>
      <c r="E46" s="45"/>
      <c r="F46" s="45"/>
      <c r="G46" s="45"/>
      <c r="H46" s="45"/>
      <c r="I46" s="45"/>
      <c r="J46" s="45"/>
      <c r="K46" s="45"/>
      <c r="L46" s="45"/>
      <c r="M46" s="45"/>
      <c r="N46" s="45"/>
      <c r="O46" s="45"/>
      <c r="P46" s="45"/>
      <c r="Q46" s="45"/>
      <c r="R46" s="45"/>
      <c r="S46" s="45"/>
      <c r="T46" s="45"/>
      <c r="U46" s="45"/>
      <c r="V46" s="45"/>
      <c r="W46" s="45"/>
      <c r="X46" s="45"/>
      <c r="Y46" s="45"/>
      <c r="Z46" s="45"/>
      <c r="AA46" s="45"/>
      <c r="AB46" s="45"/>
      <c r="AC46" s="45"/>
      <c r="AD46" s="45"/>
      <c r="AE46" s="45"/>
      <c r="AF46" s="45"/>
      <c r="AG46" s="45"/>
      <c r="AH46" s="45"/>
      <c r="AI46" s="45"/>
      <c r="AJ46" s="45"/>
      <c r="AK46" s="49"/>
    </row>
    <row r="47" spans="1:37" ht="12" customHeight="1">
      <c r="A47" s="48"/>
      <c r="B47" s="45"/>
      <c r="C47" s="45"/>
      <c r="D47" s="45"/>
      <c r="E47" s="45"/>
      <c r="F47" s="45"/>
      <c r="G47" s="45"/>
      <c r="H47" s="45"/>
      <c r="I47" s="45"/>
      <c r="J47" s="45"/>
      <c r="K47" s="45"/>
      <c r="L47" s="45"/>
      <c r="M47" s="45"/>
      <c r="N47" s="45"/>
      <c r="O47" s="45"/>
      <c r="P47" s="45"/>
      <c r="Q47" s="45"/>
      <c r="R47" s="45"/>
      <c r="S47" s="45"/>
      <c r="T47" s="45"/>
      <c r="U47" s="45"/>
      <c r="V47" s="45"/>
      <c r="W47" s="45"/>
      <c r="X47" s="45"/>
      <c r="Y47" s="45"/>
      <c r="Z47" s="45"/>
      <c r="AA47" s="45"/>
      <c r="AB47" s="45"/>
      <c r="AC47" s="45"/>
      <c r="AD47" s="45"/>
      <c r="AE47" s="45"/>
      <c r="AF47" s="45"/>
      <c r="AG47" s="45"/>
      <c r="AH47" s="45"/>
      <c r="AI47" s="45"/>
      <c r="AJ47" s="45"/>
      <c r="AK47" s="49"/>
    </row>
    <row r="48" spans="1:37" ht="12" customHeight="1">
      <c r="A48" s="48"/>
      <c r="B48" s="45"/>
      <c r="C48" s="45"/>
      <c r="D48" s="45"/>
      <c r="E48" s="45"/>
      <c r="F48" s="45"/>
      <c r="G48" s="45"/>
      <c r="H48" s="45"/>
      <c r="I48" s="45"/>
      <c r="J48" s="45"/>
      <c r="K48" s="45"/>
      <c r="L48" s="45"/>
      <c r="M48" s="45"/>
      <c r="N48" s="45"/>
      <c r="O48" s="45"/>
      <c r="P48" s="45"/>
      <c r="Q48" s="45"/>
      <c r="R48" s="45"/>
      <c r="S48" s="45"/>
      <c r="T48" s="45"/>
      <c r="U48" s="45"/>
      <c r="V48" s="45"/>
      <c r="W48" s="45"/>
      <c r="X48" s="45"/>
      <c r="Y48" s="45"/>
      <c r="Z48" s="45"/>
      <c r="AA48" s="45"/>
      <c r="AB48" s="45"/>
      <c r="AC48" s="45"/>
      <c r="AD48" s="45"/>
      <c r="AE48" s="45"/>
      <c r="AF48" s="45"/>
      <c r="AG48" s="45"/>
      <c r="AH48" s="45"/>
      <c r="AI48" s="45"/>
      <c r="AJ48" s="45"/>
      <c r="AK48" s="49"/>
    </row>
    <row r="49" spans="1:37" ht="12" customHeight="1">
      <c r="A49" s="48"/>
      <c r="B49" s="45"/>
      <c r="C49" s="45"/>
      <c r="D49" s="45"/>
      <c r="E49" s="45"/>
      <c r="F49" s="45"/>
      <c r="G49" s="45"/>
      <c r="H49" s="45"/>
      <c r="I49" s="45"/>
      <c r="J49" s="45"/>
      <c r="K49" s="45"/>
      <c r="L49" s="45"/>
      <c r="M49" s="45"/>
      <c r="N49" s="45"/>
      <c r="O49" s="45"/>
      <c r="P49" s="45"/>
      <c r="Q49" s="45"/>
      <c r="R49" s="45"/>
      <c r="S49" s="45"/>
      <c r="T49" s="45"/>
      <c r="U49" s="45"/>
      <c r="V49" s="45"/>
      <c r="W49" s="45"/>
      <c r="X49" s="45"/>
      <c r="Y49" s="45"/>
      <c r="Z49" s="45"/>
      <c r="AA49" s="45"/>
      <c r="AB49" s="45"/>
      <c r="AC49" s="45"/>
      <c r="AD49" s="45"/>
      <c r="AE49" s="45"/>
      <c r="AF49" s="45"/>
      <c r="AG49" s="45"/>
      <c r="AH49" s="45"/>
      <c r="AI49" s="45"/>
      <c r="AJ49" s="45"/>
      <c r="AK49" s="49"/>
    </row>
    <row r="50" spans="1:37" ht="12" customHeight="1">
      <c r="A50" s="48"/>
      <c r="B50" s="45"/>
      <c r="C50" s="45"/>
      <c r="D50" s="45"/>
      <c r="E50" s="45"/>
      <c r="F50" s="45"/>
      <c r="G50" s="45"/>
      <c r="H50" s="45"/>
      <c r="I50" s="45"/>
      <c r="J50" s="45"/>
      <c r="K50" s="45"/>
      <c r="L50" s="45"/>
      <c r="M50" s="45"/>
      <c r="N50" s="45"/>
      <c r="O50" s="45"/>
      <c r="P50" s="45"/>
      <c r="Q50" s="45"/>
      <c r="R50" s="45"/>
      <c r="S50" s="45"/>
      <c r="T50" s="45"/>
      <c r="U50" s="45"/>
      <c r="V50" s="45"/>
      <c r="W50" s="45"/>
      <c r="X50" s="45"/>
      <c r="Y50" s="45"/>
      <c r="Z50" s="45"/>
      <c r="AA50" s="45"/>
      <c r="AB50" s="45"/>
      <c r="AC50" s="45"/>
      <c r="AD50" s="45"/>
      <c r="AE50" s="45"/>
      <c r="AF50" s="45"/>
      <c r="AG50" s="45"/>
      <c r="AH50" s="45"/>
      <c r="AI50" s="45"/>
      <c r="AJ50" s="45"/>
      <c r="AK50" s="49"/>
    </row>
    <row r="51" spans="1:37" ht="12" customHeight="1">
      <c r="A51" s="48"/>
      <c r="B51" s="45"/>
      <c r="C51" s="45"/>
      <c r="D51" s="45"/>
      <c r="E51" s="45"/>
      <c r="F51" s="45"/>
      <c r="G51" s="45"/>
      <c r="H51" s="45"/>
      <c r="I51" s="45"/>
      <c r="J51" s="45"/>
      <c r="K51" s="45"/>
      <c r="L51" s="45"/>
      <c r="M51" s="45"/>
      <c r="N51" s="45"/>
      <c r="O51" s="45"/>
      <c r="P51" s="45"/>
      <c r="Q51" s="45"/>
      <c r="R51" s="45"/>
      <c r="S51" s="45"/>
      <c r="T51" s="45"/>
      <c r="U51" s="45"/>
      <c r="V51" s="45"/>
      <c r="W51" s="45"/>
      <c r="X51" s="45"/>
      <c r="Y51" s="45"/>
      <c r="Z51" s="45"/>
      <c r="AA51" s="45"/>
      <c r="AB51" s="45"/>
      <c r="AC51" s="45"/>
      <c r="AD51" s="45"/>
      <c r="AE51" s="45"/>
      <c r="AF51" s="45"/>
      <c r="AG51" s="45"/>
      <c r="AH51" s="45"/>
      <c r="AI51" s="45"/>
      <c r="AJ51" s="45"/>
      <c r="AK51" s="49"/>
    </row>
    <row r="52" spans="1:37" ht="12" customHeight="1">
      <c r="A52" s="48"/>
      <c r="B52" s="45"/>
      <c r="C52" s="45"/>
      <c r="D52" s="45"/>
      <c r="E52" s="45"/>
      <c r="F52" s="45"/>
      <c r="G52" s="45"/>
      <c r="H52" s="45"/>
      <c r="I52" s="45"/>
      <c r="J52" s="45"/>
      <c r="K52" s="45"/>
      <c r="L52" s="45"/>
      <c r="M52" s="45"/>
      <c r="N52" s="45"/>
      <c r="O52" s="45"/>
      <c r="P52" s="45"/>
      <c r="Q52" s="45"/>
      <c r="R52" s="45"/>
      <c r="S52" s="45"/>
      <c r="T52" s="45"/>
      <c r="U52" s="45"/>
      <c r="V52" s="45"/>
      <c r="W52" s="45"/>
      <c r="X52" s="45"/>
      <c r="Y52" s="45"/>
      <c r="Z52" s="45"/>
      <c r="AA52" s="45"/>
      <c r="AB52" s="45"/>
      <c r="AC52" s="45"/>
      <c r="AD52" s="45"/>
      <c r="AE52" s="45"/>
      <c r="AF52" s="45"/>
      <c r="AG52" s="45"/>
      <c r="AH52" s="45"/>
      <c r="AI52" s="45"/>
      <c r="AJ52" s="45"/>
      <c r="AK52" s="49"/>
    </row>
    <row r="53" spans="1:37" ht="12" customHeight="1">
      <c r="A53" s="48"/>
      <c r="B53" s="45"/>
      <c r="C53" s="45"/>
      <c r="D53" s="45"/>
      <c r="E53" s="45"/>
      <c r="F53" s="45"/>
      <c r="G53" s="45"/>
      <c r="H53" s="45"/>
      <c r="I53" s="45"/>
      <c r="J53" s="45"/>
      <c r="K53" s="45"/>
      <c r="L53" s="45"/>
      <c r="M53" s="45"/>
      <c r="N53" s="45"/>
      <c r="O53" s="45"/>
      <c r="P53" s="45"/>
      <c r="Q53" s="45"/>
      <c r="R53" s="45"/>
      <c r="S53" s="45"/>
      <c r="T53" s="45"/>
      <c r="U53" s="45"/>
      <c r="V53" s="45"/>
      <c r="W53" s="45"/>
      <c r="X53" s="45"/>
      <c r="Y53" s="45"/>
      <c r="Z53" s="45"/>
      <c r="AA53" s="45"/>
      <c r="AB53" s="45"/>
      <c r="AC53" s="45"/>
      <c r="AD53" s="45"/>
      <c r="AE53" s="45"/>
      <c r="AF53" s="45"/>
      <c r="AG53" s="45"/>
      <c r="AH53" s="45"/>
      <c r="AI53" s="45"/>
      <c r="AJ53" s="45"/>
      <c r="AK53" s="49"/>
    </row>
    <row r="54" spans="1:37" ht="12" customHeight="1">
      <c r="A54" s="48"/>
      <c r="B54" s="45"/>
      <c r="C54" s="45"/>
      <c r="D54" s="45"/>
      <c r="E54" s="45"/>
      <c r="F54" s="45"/>
      <c r="G54" s="45"/>
      <c r="H54" s="45"/>
      <c r="I54" s="45"/>
      <c r="J54" s="45"/>
      <c r="K54" s="45"/>
      <c r="L54" s="45"/>
      <c r="M54" s="45"/>
      <c r="N54" s="45"/>
      <c r="O54" s="45"/>
      <c r="P54" s="45"/>
      <c r="Q54" s="45"/>
      <c r="R54" s="45"/>
      <c r="S54" s="45"/>
      <c r="T54" s="45"/>
      <c r="U54" s="45"/>
      <c r="V54" s="45"/>
      <c r="W54" s="45"/>
      <c r="X54" s="45"/>
      <c r="Y54" s="45"/>
      <c r="Z54" s="45"/>
      <c r="AA54" s="45"/>
      <c r="AB54" s="45"/>
      <c r="AC54" s="45"/>
      <c r="AD54" s="45"/>
      <c r="AE54" s="45"/>
      <c r="AF54" s="45"/>
      <c r="AG54" s="45"/>
      <c r="AH54" s="45"/>
      <c r="AI54" s="45"/>
      <c r="AJ54" s="45"/>
      <c r="AK54" s="49"/>
    </row>
    <row r="55" spans="1:37" ht="12" customHeight="1">
      <c r="A55" s="48"/>
      <c r="B55" s="45"/>
      <c r="C55" s="45"/>
      <c r="D55" s="45"/>
      <c r="E55" s="45"/>
      <c r="F55" s="45"/>
      <c r="G55" s="45"/>
      <c r="H55" s="45"/>
      <c r="I55" s="45"/>
      <c r="J55" s="45"/>
      <c r="K55" s="45"/>
      <c r="L55" s="45"/>
      <c r="M55" s="45"/>
      <c r="N55" s="45"/>
      <c r="O55" s="45"/>
      <c r="P55" s="45"/>
      <c r="Q55" s="45"/>
      <c r="R55" s="45"/>
      <c r="S55" s="45"/>
      <c r="T55" s="45"/>
      <c r="U55" s="45"/>
      <c r="V55" s="45"/>
      <c r="W55" s="45"/>
      <c r="X55" s="45"/>
      <c r="Y55" s="45"/>
      <c r="Z55" s="45"/>
      <c r="AA55" s="45"/>
      <c r="AB55" s="45"/>
      <c r="AC55" s="45"/>
      <c r="AD55" s="45"/>
      <c r="AE55" s="45"/>
      <c r="AF55" s="45"/>
      <c r="AG55" s="45"/>
      <c r="AH55" s="45"/>
      <c r="AI55" s="45"/>
      <c r="AJ55" s="45"/>
      <c r="AK55" s="49"/>
    </row>
    <row r="56" spans="1:37" ht="12" customHeight="1">
      <c r="A56" s="48"/>
      <c r="B56" s="45"/>
      <c r="C56" s="45"/>
      <c r="D56" s="45"/>
      <c r="E56" s="45"/>
      <c r="F56" s="45"/>
      <c r="G56" s="45"/>
      <c r="H56" s="45"/>
      <c r="I56" s="45"/>
      <c r="J56" s="45"/>
      <c r="K56" s="45"/>
      <c r="L56" s="45"/>
      <c r="M56" s="45"/>
      <c r="N56" s="45"/>
      <c r="O56" s="45"/>
      <c r="P56" s="45"/>
      <c r="Q56" s="45"/>
      <c r="R56" s="45"/>
      <c r="S56" s="45"/>
      <c r="T56" s="45"/>
      <c r="U56" s="45"/>
      <c r="V56" s="45"/>
      <c r="W56" s="45"/>
      <c r="X56" s="45"/>
      <c r="Y56" s="45"/>
      <c r="Z56" s="45"/>
      <c r="AA56" s="45"/>
      <c r="AB56" s="45"/>
      <c r="AC56" s="45"/>
      <c r="AD56" s="45"/>
      <c r="AE56" s="45"/>
      <c r="AF56" s="45"/>
      <c r="AG56" s="45"/>
      <c r="AH56" s="45"/>
      <c r="AI56" s="45"/>
      <c r="AJ56" s="45"/>
      <c r="AK56" s="49"/>
    </row>
    <row r="57" spans="1:37" ht="12" customHeight="1">
      <c r="A57" s="48"/>
      <c r="B57" s="45"/>
      <c r="C57" s="45"/>
      <c r="D57" s="45"/>
      <c r="E57" s="45"/>
      <c r="F57" s="45"/>
      <c r="G57" s="45"/>
      <c r="H57" s="45"/>
      <c r="I57" s="45"/>
      <c r="J57" s="45"/>
      <c r="K57" s="45"/>
      <c r="L57" s="45"/>
      <c r="M57" s="45"/>
      <c r="N57" s="45"/>
      <c r="O57" s="45"/>
      <c r="P57" s="45"/>
      <c r="Q57" s="45"/>
      <c r="R57" s="45"/>
      <c r="S57" s="45"/>
      <c r="T57" s="45"/>
      <c r="U57" s="45"/>
      <c r="V57" s="45"/>
      <c r="W57" s="45"/>
      <c r="X57" s="45"/>
      <c r="Y57" s="45"/>
      <c r="Z57" s="45"/>
      <c r="AA57" s="45"/>
      <c r="AB57" s="45"/>
      <c r="AC57" s="45"/>
      <c r="AD57" s="45"/>
      <c r="AE57" s="45"/>
      <c r="AF57" s="45"/>
      <c r="AG57" s="45"/>
      <c r="AH57" s="45"/>
      <c r="AI57" s="45"/>
      <c r="AJ57" s="45"/>
      <c r="AK57" s="49"/>
    </row>
    <row r="58" spans="1:37" ht="12" customHeight="1">
      <c r="A58" s="48"/>
      <c r="B58" s="45"/>
      <c r="C58" s="45"/>
      <c r="D58" s="45"/>
      <c r="E58" s="45"/>
      <c r="F58" s="45"/>
      <c r="G58" s="45"/>
      <c r="H58" s="45"/>
      <c r="I58" s="45"/>
      <c r="J58" s="45"/>
      <c r="K58" s="45"/>
      <c r="L58" s="45"/>
      <c r="M58" s="45"/>
      <c r="N58" s="45"/>
      <c r="O58" s="45"/>
      <c r="P58" s="45"/>
      <c r="Q58" s="45"/>
      <c r="R58" s="45"/>
      <c r="S58" s="45"/>
      <c r="T58" s="45"/>
      <c r="U58" s="45"/>
      <c r="V58" s="45"/>
      <c r="W58" s="45"/>
      <c r="X58" s="45"/>
      <c r="Y58" s="45"/>
      <c r="Z58" s="45"/>
      <c r="AA58" s="45"/>
      <c r="AB58" s="45"/>
      <c r="AC58" s="45"/>
      <c r="AD58" s="45"/>
      <c r="AE58" s="45"/>
      <c r="AF58" s="45"/>
      <c r="AG58" s="45"/>
      <c r="AH58" s="45"/>
      <c r="AI58" s="45"/>
      <c r="AJ58" s="45"/>
      <c r="AK58" s="49"/>
    </row>
    <row r="59" spans="1:37" ht="12" customHeight="1">
      <c r="A59" s="48"/>
      <c r="B59" s="45"/>
      <c r="C59" s="45"/>
      <c r="D59" s="45"/>
      <c r="E59" s="45"/>
      <c r="F59" s="45"/>
      <c r="G59" s="45"/>
      <c r="H59" s="45"/>
      <c r="I59" s="45"/>
      <c r="J59" s="45"/>
      <c r="K59" s="45"/>
      <c r="L59" s="45"/>
      <c r="M59" s="45"/>
      <c r="N59" s="45"/>
      <c r="O59" s="45"/>
      <c r="P59" s="45"/>
      <c r="Q59" s="45"/>
      <c r="R59" s="45"/>
      <c r="S59" s="45"/>
      <c r="T59" s="45"/>
      <c r="U59" s="45"/>
      <c r="V59" s="45"/>
      <c r="W59" s="45"/>
      <c r="X59" s="45"/>
      <c r="Y59" s="45"/>
      <c r="Z59" s="45"/>
      <c r="AA59" s="45"/>
      <c r="AB59" s="45"/>
      <c r="AC59" s="45"/>
      <c r="AD59" s="45"/>
      <c r="AE59" s="45"/>
      <c r="AF59" s="45"/>
      <c r="AG59" s="45"/>
      <c r="AH59" s="45"/>
      <c r="AI59" s="45"/>
      <c r="AJ59" s="45"/>
      <c r="AK59" s="49"/>
    </row>
    <row r="60" spans="1:37" ht="12" customHeight="1">
      <c r="A60" s="48"/>
      <c r="B60" s="45"/>
      <c r="C60" s="45"/>
      <c r="D60" s="45"/>
      <c r="E60" s="45"/>
      <c r="F60" s="45"/>
      <c r="G60" s="45"/>
      <c r="H60" s="45"/>
      <c r="I60" s="45"/>
      <c r="J60" s="45"/>
      <c r="K60" s="45"/>
      <c r="L60" s="45"/>
      <c r="M60" s="45"/>
      <c r="N60" s="45"/>
      <c r="O60" s="45"/>
      <c r="P60" s="45"/>
      <c r="Q60" s="45"/>
      <c r="R60" s="45"/>
      <c r="S60" s="45"/>
      <c r="T60" s="45"/>
      <c r="U60" s="45"/>
      <c r="V60" s="45"/>
      <c r="W60" s="45"/>
      <c r="X60" s="45"/>
      <c r="Y60" s="45"/>
      <c r="Z60" s="45"/>
      <c r="AA60" s="45"/>
      <c r="AB60" s="45"/>
      <c r="AC60" s="45"/>
      <c r="AD60" s="45"/>
      <c r="AE60" s="45"/>
      <c r="AF60" s="45"/>
      <c r="AG60" s="45"/>
      <c r="AH60" s="45"/>
      <c r="AI60" s="45"/>
      <c r="AJ60" s="45"/>
      <c r="AK60" s="49"/>
    </row>
    <row r="61" spans="1:37" ht="12" customHeight="1">
      <c r="A61" s="48"/>
      <c r="B61" s="45"/>
      <c r="C61" s="45"/>
      <c r="D61" s="45"/>
      <c r="E61" s="45"/>
      <c r="F61" s="45"/>
      <c r="G61" s="45"/>
      <c r="H61" s="45"/>
      <c r="I61" s="45"/>
      <c r="J61" s="45"/>
      <c r="K61" s="45"/>
      <c r="L61" s="45"/>
      <c r="M61" s="45"/>
      <c r="N61" s="45"/>
      <c r="O61" s="45"/>
      <c r="P61" s="45"/>
      <c r="Q61" s="45"/>
      <c r="R61" s="45"/>
      <c r="S61" s="45"/>
      <c r="T61" s="45"/>
      <c r="U61" s="45"/>
      <c r="V61" s="45"/>
      <c r="W61" s="45"/>
      <c r="X61" s="45"/>
      <c r="Y61" s="45"/>
      <c r="Z61" s="45"/>
      <c r="AA61" s="45"/>
      <c r="AB61" s="45"/>
      <c r="AC61" s="45"/>
      <c r="AD61" s="45"/>
      <c r="AE61" s="45"/>
      <c r="AF61" s="45"/>
      <c r="AG61" s="45"/>
      <c r="AH61" s="45"/>
      <c r="AI61" s="45"/>
      <c r="AJ61" s="45"/>
      <c r="AK61" s="49"/>
    </row>
    <row r="62" spans="1:37" ht="12" customHeight="1">
      <c r="A62" s="48"/>
      <c r="B62" s="45"/>
      <c r="C62" s="45"/>
      <c r="D62" s="45"/>
      <c r="E62" s="45"/>
      <c r="F62" s="45"/>
      <c r="G62" s="45"/>
      <c r="H62" s="45"/>
      <c r="I62" s="45"/>
      <c r="J62" s="45"/>
      <c r="K62" s="45"/>
      <c r="L62" s="45"/>
      <c r="M62" s="45"/>
      <c r="N62" s="45"/>
      <c r="O62" s="45"/>
      <c r="P62" s="45"/>
      <c r="Q62" s="45"/>
      <c r="R62" s="45"/>
      <c r="S62" s="45"/>
      <c r="T62" s="45"/>
      <c r="U62" s="45"/>
      <c r="V62" s="45"/>
      <c r="W62" s="45"/>
      <c r="X62" s="45"/>
      <c r="Y62" s="45"/>
      <c r="Z62" s="45"/>
      <c r="AA62" s="45"/>
      <c r="AB62" s="45"/>
      <c r="AC62" s="45"/>
      <c r="AD62" s="45"/>
      <c r="AE62" s="45"/>
      <c r="AF62" s="45"/>
      <c r="AG62" s="45"/>
      <c r="AH62" s="45"/>
      <c r="AI62" s="45"/>
      <c r="AJ62" s="45"/>
      <c r="AK62" s="49"/>
    </row>
    <row r="63" spans="1:37" ht="12" customHeight="1">
      <c r="A63" s="48"/>
      <c r="B63" s="45"/>
      <c r="C63" s="45"/>
      <c r="D63" s="45"/>
      <c r="E63" s="45"/>
      <c r="F63" s="45"/>
      <c r="G63" s="45"/>
      <c r="H63" s="45"/>
      <c r="I63" s="45"/>
      <c r="J63" s="45"/>
      <c r="K63" s="45"/>
      <c r="L63" s="45"/>
      <c r="M63" s="45"/>
      <c r="N63" s="45"/>
      <c r="O63" s="45"/>
      <c r="P63" s="45"/>
      <c r="Q63" s="45"/>
      <c r="R63" s="45"/>
      <c r="S63" s="45"/>
      <c r="T63" s="45"/>
      <c r="U63" s="45"/>
      <c r="V63" s="45"/>
      <c r="W63" s="45"/>
      <c r="X63" s="45"/>
      <c r="Y63" s="45"/>
      <c r="Z63" s="45"/>
      <c r="AA63" s="45"/>
      <c r="AB63" s="45"/>
      <c r="AC63" s="45"/>
      <c r="AD63" s="45"/>
      <c r="AE63" s="45"/>
      <c r="AF63" s="45"/>
      <c r="AG63" s="45"/>
      <c r="AH63" s="45"/>
      <c r="AI63" s="45"/>
      <c r="AJ63" s="45"/>
      <c r="AK63" s="49"/>
    </row>
    <row r="64" spans="1:37" ht="12" customHeight="1">
      <c r="A64" s="48"/>
      <c r="B64" s="45"/>
      <c r="C64" s="1135" t="s">
        <v>209</v>
      </c>
      <c r="D64" s="1135"/>
      <c r="E64" s="1135"/>
      <c r="F64" s="1135"/>
      <c r="G64" s="1135"/>
      <c r="H64" s="1135"/>
      <c r="I64" s="1135"/>
      <c r="J64" s="1135"/>
      <c r="K64" s="1135"/>
      <c r="L64" s="1135"/>
      <c r="M64" s="1135"/>
      <c r="N64" s="1135"/>
      <c r="O64" s="1135"/>
      <c r="P64" s="1135"/>
      <c r="Q64" s="1135"/>
      <c r="R64" s="1135"/>
      <c r="S64" s="1135"/>
      <c r="T64" s="1135"/>
      <c r="U64" s="1135"/>
      <c r="V64" s="1135"/>
      <c r="W64" s="1135"/>
      <c r="X64" s="1135"/>
      <c r="Y64" s="1135"/>
      <c r="Z64" s="1135"/>
      <c r="AA64" s="1135"/>
      <c r="AB64" s="1135"/>
      <c r="AC64" s="1135"/>
      <c r="AD64" s="1135"/>
      <c r="AE64" s="1135"/>
      <c r="AF64" s="1135"/>
      <c r="AG64" s="1135"/>
      <c r="AH64" s="1135"/>
      <c r="AI64" s="1135"/>
      <c r="AJ64" s="45"/>
      <c r="AK64" s="49"/>
    </row>
    <row r="65" spans="1:37" ht="14.1" customHeight="1">
      <c r="A65" s="48"/>
      <c r="B65" s="45"/>
      <c r="C65" s="1135" t="s">
        <v>277</v>
      </c>
      <c r="D65" s="1135"/>
      <c r="E65" s="1135"/>
      <c r="F65" s="1135"/>
      <c r="G65" s="1135"/>
      <c r="H65" s="1135"/>
      <c r="I65" s="1135"/>
      <c r="J65" s="1135"/>
      <c r="K65" s="1135"/>
      <c r="L65" s="1135"/>
      <c r="M65" s="1135"/>
      <c r="N65" s="1135"/>
      <c r="O65" s="1135"/>
      <c r="P65" s="1135"/>
      <c r="Q65" s="1135"/>
      <c r="R65" s="1135"/>
      <c r="S65" s="1135"/>
      <c r="T65" s="1135"/>
      <c r="U65" s="1135"/>
      <c r="V65" s="1135"/>
      <c r="W65" s="1135"/>
      <c r="X65" s="1135"/>
      <c r="Y65" s="1135"/>
      <c r="Z65" s="1135"/>
      <c r="AA65" s="1135"/>
      <c r="AB65" s="1135"/>
      <c r="AC65" s="1135"/>
      <c r="AD65" s="1135"/>
      <c r="AE65" s="1135"/>
      <c r="AF65" s="1135"/>
      <c r="AG65" s="1135"/>
      <c r="AH65" s="1135"/>
      <c r="AI65" s="1135"/>
      <c r="AJ65" s="45"/>
      <c r="AK65" s="49"/>
    </row>
    <row r="66" spans="1:37" ht="6" customHeight="1">
      <c r="A66" s="50"/>
      <c r="B66" s="51"/>
      <c r="C66" s="51"/>
      <c r="D66" s="51"/>
      <c r="E66" s="51"/>
      <c r="F66" s="51"/>
      <c r="G66" s="51"/>
      <c r="H66" s="51"/>
      <c r="I66" s="51"/>
      <c r="J66" s="51"/>
      <c r="K66" s="51"/>
      <c r="L66" s="51"/>
      <c r="M66" s="51"/>
      <c r="N66" s="51"/>
      <c r="O66" s="51"/>
      <c r="P66" s="51"/>
      <c r="Q66" s="51"/>
      <c r="R66" s="51"/>
      <c r="S66" s="51"/>
      <c r="T66" s="51"/>
      <c r="U66" s="51"/>
      <c r="V66" s="51"/>
      <c r="W66" s="51"/>
      <c r="X66" s="51"/>
      <c r="Y66" s="51"/>
      <c r="Z66" s="51"/>
      <c r="AA66" s="51"/>
      <c r="AB66" s="51"/>
      <c r="AC66" s="51"/>
      <c r="AD66" s="51"/>
      <c r="AE66" s="51"/>
      <c r="AF66" s="51"/>
      <c r="AG66" s="51"/>
      <c r="AH66" s="51"/>
      <c r="AI66" s="51"/>
      <c r="AJ66" s="51"/>
      <c r="AK66" s="52"/>
    </row>
    <row r="67" spans="1:37" ht="12" customHeight="1">
      <c r="A67" s="45"/>
      <c r="B67" s="45"/>
      <c r="C67" s="45"/>
      <c r="D67" s="45"/>
      <c r="E67" s="45"/>
      <c r="F67" s="45"/>
      <c r="G67" s="45"/>
      <c r="H67" s="45"/>
      <c r="I67" s="45"/>
      <c r="J67" s="45"/>
      <c r="K67" s="45"/>
      <c r="L67" s="45"/>
      <c r="M67" s="45"/>
      <c r="N67" s="45"/>
      <c r="O67" s="45"/>
      <c r="P67" s="45"/>
      <c r="Q67" s="45"/>
      <c r="R67" s="45"/>
      <c r="S67" s="45"/>
      <c r="T67" s="45"/>
      <c r="U67" s="45"/>
      <c r="V67" s="45"/>
      <c r="W67" s="45"/>
      <c r="X67" s="45"/>
      <c r="Y67" s="45"/>
      <c r="Z67" s="45"/>
      <c r="AA67" s="45"/>
      <c r="AB67" s="45"/>
      <c r="AC67" s="45"/>
      <c r="AD67" s="45"/>
      <c r="AE67" s="45"/>
      <c r="AF67" s="45"/>
      <c r="AG67" s="45"/>
      <c r="AH67" s="45"/>
      <c r="AI67" s="45"/>
      <c r="AJ67" s="45"/>
      <c r="AK67" s="45"/>
    </row>
    <row r="68" spans="1:37" ht="12" customHeight="1">
      <c r="A68" s="45"/>
      <c r="B68" s="45"/>
      <c r="C68" s="45"/>
      <c r="D68" s="45"/>
      <c r="E68" s="45"/>
      <c r="F68" s="45"/>
      <c r="G68" s="45"/>
      <c r="H68" s="45"/>
      <c r="I68" s="45"/>
      <c r="J68" s="45"/>
      <c r="K68" s="45"/>
      <c r="L68" s="45"/>
      <c r="M68" s="45"/>
      <c r="N68" s="45"/>
      <c r="O68" s="45"/>
      <c r="P68" s="45"/>
      <c r="Q68" s="45"/>
      <c r="R68" s="45"/>
      <c r="S68" s="45"/>
      <c r="T68" s="45"/>
      <c r="U68" s="45"/>
      <c r="V68" s="45"/>
      <c r="W68" s="45"/>
      <c r="X68" s="45"/>
      <c r="Y68" s="45"/>
      <c r="Z68" s="45"/>
      <c r="AA68" s="45"/>
      <c r="AB68" s="45"/>
      <c r="AC68" s="45"/>
      <c r="AD68" s="45"/>
      <c r="AE68" s="45"/>
      <c r="AF68" s="45"/>
      <c r="AG68" s="45"/>
      <c r="AH68" s="45"/>
      <c r="AI68" s="45"/>
      <c r="AJ68" s="45"/>
      <c r="AK68" s="45"/>
    </row>
    <row r="69" spans="1:37" ht="12" customHeight="1">
      <c r="A69" s="45"/>
      <c r="B69" s="45"/>
      <c r="C69" s="45"/>
      <c r="D69" s="45"/>
      <c r="E69" s="45"/>
      <c r="F69" s="45"/>
      <c r="G69" s="45"/>
      <c r="H69" s="45"/>
      <c r="I69" s="45"/>
      <c r="J69" s="45"/>
      <c r="K69" s="45"/>
      <c r="L69" s="45"/>
      <c r="M69" s="45"/>
      <c r="N69" s="45"/>
      <c r="O69" s="45"/>
      <c r="P69" s="45"/>
      <c r="Q69" s="45"/>
      <c r="R69" s="45"/>
      <c r="S69" s="45"/>
      <c r="T69" s="45"/>
      <c r="U69" s="45"/>
      <c r="V69" s="45"/>
      <c r="W69" s="45"/>
      <c r="X69" s="45"/>
      <c r="Y69" s="45"/>
      <c r="Z69" s="45"/>
      <c r="AA69" s="45"/>
      <c r="AB69" s="45"/>
      <c r="AC69" s="45"/>
      <c r="AD69" s="45"/>
      <c r="AE69" s="45"/>
      <c r="AF69" s="45"/>
      <c r="AG69" s="45"/>
      <c r="AH69" s="45"/>
      <c r="AI69" s="45"/>
      <c r="AJ69" s="45"/>
      <c r="AK69" s="45"/>
    </row>
    <row r="70" spans="1:37" ht="12" customHeight="1">
      <c r="A70" s="45"/>
      <c r="B70" s="45"/>
      <c r="C70" s="45"/>
      <c r="D70" s="45"/>
      <c r="E70" s="45"/>
      <c r="F70" s="45"/>
      <c r="G70" s="45"/>
      <c r="H70" s="45"/>
      <c r="I70" s="45"/>
      <c r="J70" s="45"/>
      <c r="K70" s="45"/>
      <c r="L70" s="45"/>
      <c r="M70" s="45"/>
      <c r="N70" s="45"/>
      <c r="O70" s="45"/>
      <c r="P70" s="45"/>
      <c r="Q70" s="45"/>
      <c r="R70" s="45"/>
      <c r="S70" s="45"/>
      <c r="T70" s="45"/>
      <c r="U70" s="45"/>
      <c r="V70" s="45"/>
      <c r="W70" s="45"/>
      <c r="X70" s="45"/>
      <c r="Y70" s="45"/>
      <c r="Z70" s="45"/>
      <c r="AA70" s="45"/>
      <c r="AB70" s="45"/>
      <c r="AC70" s="45"/>
      <c r="AD70" s="45"/>
      <c r="AE70" s="45"/>
      <c r="AF70" s="45"/>
      <c r="AG70" s="45"/>
      <c r="AH70" s="45"/>
      <c r="AI70" s="45"/>
      <c r="AJ70" s="45"/>
      <c r="AK70" s="45"/>
    </row>
    <row r="71" spans="1:37" ht="12" customHeight="1">
      <c r="C71" s="254"/>
      <c r="D71" s="254"/>
      <c r="E71" s="254"/>
      <c r="F71" s="254"/>
      <c r="G71" s="254"/>
      <c r="H71" s="254"/>
      <c r="I71" s="254"/>
      <c r="J71" s="254"/>
      <c r="K71" s="254"/>
      <c r="L71" s="254"/>
      <c r="M71" s="254"/>
      <c r="N71" s="254"/>
      <c r="O71" s="254"/>
      <c r="P71" s="254"/>
      <c r="Q71" s="254"/>
      <c r="R71" s="254"/>
      <c r="S71" s="254"/>
      <c r="T71" s="254"/>
      <c r="U71" s="254"/>
      <c r="V71" s="254"/>
      <c r="W71" s="254"/>
      <c r="X71" s="254"/>
      <c r="Y71" s="254"/>
      <c r="Z71" s="254"/>
      <c r="AA71" s="254"/>
      <c r="AB71" s="254"/>
      <c r="AC71" s="254"/>
      <c r="AD71" s="254"/>
      <c r="AE71" s="254"/>
      <c r="AF71" s="254"/>
      <c r="AG71" s="254"/>
      <c r="AH71" s="254"/>
      <c r="AI71" s="254"/>
    </row>
    <row r="72" spans="1:37" ht="12" customHeight="1">
      <c r="C72" s="254"/>
      <c r="D72" s="254"/>
      <c r="E72" s="254"/>
      <c r="F72" s="254"/>
      <c r="G72" s="254"/>
      <c r="H72" s="254"/>
      <c r="I72" s="254"/>
      <c r="J72" s="254"/>
      <c r="K72" s="254"/>
      <c r="L72" s="254"/>
      <c r="M72" s="254"/>
      <c r="N72" s="254"/>
      <c r="O72" s="254"/>
      <c r="P72" s="254"/>
      <c r="Q72" s="254"/>
      <c r="R72" s="254"/>
      <c r="S72" s="254"/>
      <c r="T72" s="254"/>
      <c r="U72" s="254"/>
      <c r="V72" s="254"/>
      <c r="W72" s="254"/>
      <c r="X72" s="254"/>
      <c r="Y72" s="254"/>
      <c r="Z72" s="254"/>
      <c r="AA72" s="254"/>
      <c r="AB72" s="254"/>
      <c r="AC72" s="254"/>
      <c r="AD72" s="254"/>
      <c r="AE72" s="254"/>
      <c r="AF72" s="254"/>
      <c r="AG72" s="254"/>
      <c r="AH72" s="254"/>
      <c r="AI72" s="254"/>
    </row>
    <row r="73" spans="1:37" ht="12" customHeight="1">
      <c r="C73" s="254"/>
      <c r="D73" s="254"/>
      <c r="E73" s="254"/>
      <c r="F73" s="254"/>
      <c r="G73" s="254"/>
      <c r="H73" s="254"/>
      <c r="I73" s="254"/>
      <c r="J73" s="254"/>
      <c r="K73" s="254"/>
      <c r="L73" s="254"/>
      <c r="M73" s="254"/>
      <c r="N73" s="254"/>
      <c r="O73" s="254"/>
      <c r="P73" s="254"/>
      <c r="Q73" s="254"/>
      <c r="R73" s="254"/>
      <c r="S73" s="254"/>
      <c r="T73" s="254"/>
      <c r="U73" s="254"/>
      <c r="V73" s="254"/>
      <c r="W73" s="254"/>
      <c r="X73" s="254"/>
      <c r="Y73" s="254"/>
      <c r="Z73" s="254"/>
      <c r="AA73" s="254"/>
      <c r="AB73" s="254"/>
      <c r="AC73" s="254"/>
      <c r="AD73" s="254"/>
      <c r="AE73" s="254"/>
      <c r="AF73" s="254"/>
      <c r="AG73" s="254"/>
      <c r="AH73" s="254"/>
      <c r="AI73" s="254"/>
    </row>
    <row r="74" spans="1:37" ht="12" customHeight="1">
      <c r="C74" s="254"/>
      <c r="D74" s="254"/>
      <c r="E74" s="254"/>
      <c r="F74" s="254"/>
      <c r="G74" s="254"/>
      <c r="H74" s="254"/>
      <c r="I74" s="254"/>
      <c r="J74" s="254"/>
      <c r="K74" s="254"/>
      <c r="L74" s="254"/>
      <c r="M74" s="254"/>
      <c r="N74" s="254"/>
      <c r="O74" s="254"/>
      <c r="P74" s="254"/>
      <c r="Q74" s="254"/>
      <c r="R74" s="254"/>
      <c r="S74" s="254"/>
      <c r="T74" s="254"/>
      <c r="U74" s="254"/>
      <c r="V74" s="254"/>
      <c r="W74" s="254"/>
      <c r="X74" s="254"/>
      <c r="Y74" s="254"/>
      <c r="Z74" s="254"/>
      <c r="AA74" s="254"/>
      <c r="AB74" s="254"/>
      <c r="AC74" s="254"/>
      <c r="AD74" s="254"/>
      <c r="AE74" s="254"/>
      <c r="AF74" s="254"/>
      <c r="AG74" s="254"/>
      <c r="AH74" s="254"/>
      <c r="AI74" s="254"/>
    </row>
  </sheetData>
  <sheetProtection sheet="1" objects="1" scenarios="1" selectLockedCells="1"/>
  <mergeCells count="36">
    <mergeCell ref="C65:AI65"/>
    <mergeCell ref="X14:Y15"/>
    <mergeCell ref="D17:W17"/>
    <mergeCell ref="C16:C17"/>
    <mergeCell ref="C18:C19"/>
    <mergeCell ref="D18:W19"/>
    <mergeCell ref="X16:Y17"/>
    <mergeCell ref="X18:Y19"/>
    <mergeCell ref="AA17:AC17"/>
    <mergeCell ref="AD17:AF17"/>
    <mergeCell ref="AG17:AI17"/>
    <mergeCell ref="AA18:AC18"/>
    <mergeCell ref="AD18:AF18"/>
    <mergeCell ref="AG18:AI18"/>
    <mergeCell ref="C64:AI64"/>
    <mergeCell ref="C37:AI37"/>
    <mergeCell ref="C38:AI38"/>
    <mergeCell ref="T23:AI35"/>
    <mergeCell ref="C23:R35"/>
    <mergeCell ref="C6:AA7"/>
    <mergeCell ref="C36:R36"/>
    <mergeCell ref="T36:AI36"/>
    <mergeCell ref="C9:AI11"/>
    <mergeCell ref="Z13:AC13"/>
    <mergeCell ref="AA15:AI15"/>
    <mergeCell ref="AA16:AC16"/>
    <mergeCell ref="AD16:AF16"/>
    <mergeCell ref="AG16:AI16"/>
    <mergeCell ref="C21:AA21"/>
    <mergeCell ref="AB21:AD21"/>
    <mergeCell ref="B2:AJ3"/>
    <mergeCell ref="AD6:AH6"/>
    <mergeCell ref="D16:W16"/>
    <mergeCell ref="C13:Y13"/>
    <mergeCell ref="D14:W15"/>
    <mergeCell ref="C14:C15"/>
  </mergeCells>
  <conditionalFormatting sqref="C23:R35">
    <cfRule type="expression" dxfId="20" priority="4">
      <formula>$AP$7=1</formula>
    </cfRule>
  </conditionalFormatting>
  <conditionalFormatting sqref="T23:AI35">
    <cfRule type="expression" dxfId="19" priority="3">
      <formula>$AP$7&lt;&gt;1</formula>
    </cfRule>
  </conditionalFormatting>
  <conditionalFormatting sqref="T36:AI36">
    <cfRule type="expression" dxfId="18" priority="2">
      <formula>#REF!=1</formula>
    </cfRule>
  </conditionalFormatting>
  <conditionalFormatting sqref="C36:R36">
    <cfRule type="expression" dxfId="17" priority="1">
      <formula>#REF!&lt;&gt;1</formula>
    </cfRule>
  </conditionalFormatting>
  <printOptions horizontalCentered="1"/>
  <pageMargins left="0.5" right="0.25" top="0.25" bottom="0.5" header="0.3" footer="0.35"/>
  <pageSetup orientation="portrait" r:id="rId1"/>
  <headerFooter>
    <oddFooter>&amp;L&amp;"Arial,Italic"&amp;8Based on MUTCD 2009
Page 7 of 7&amp;C&amp;"Arial,Bold"&amp;8&amp;UNOTE:&amp;"Arial,Italic"&amp;U  The satisfaction of a warrant or warrants shall not in
itself require the installation of a traffic control signal.&amp;R&amp;"Arial,Italic"&amp;8rev. 05/2011</oddFooter>
  </headerFooter>
  <drawing r:id="rId2"/>
</worksheet>
</file>

<file path=xl/worksheets/sheet8.xml><?xml version="1.0" encoding="utf-8"?>
<worksheet xmlns="http://schemas.openxmlformats.org/spreadsheetml/2006/main" xmlns:r="http://schemas.openxmlformats.org/officeDocument/2006/relationships">
  <sheetPr codeName="Sheet3">
    <tabColor rgb="FFFFFF00"/>
  </sheetPr>
  <dimension ref="A1:Q89"/>
  <sheetViews>
    <sheetView workbookViewId="0">
      <selection activeCell="L14" sqref="L14"/>
    </sheetView>
  </sheetViews>
  <sheetFormatPr defaultRowHeight="15"/>
  <cols>
    <col min="1" max="14" width="8.7109375" customWidth="1"/>
    <col min="15" max="17" width="18" bestFit="1" customWidth="1"/>
  </cols>
  <sheetData>
    <row r="1" spans="1:17" ht="15.75">
      <c r="A1" s="1161" t="s">
        <v>212</v>
      </c>
      <c r="B1" s="1161"/>
      <c r="C1" s="1161"/>
      <c r="D1" s="1161"/>
      <c r="E1" s="1161"/>
      <c r="F1" s="1161"/>
      <c r="G1" s="1161"/>
      <c r="H1" s="1161"/>
      <c r="I1" s="1161"/>
      <c r="J1" s="1161"/>
      <c r="K1" s="1161"/>
      <c r="L1" s="1161"/>
      <c r="M1" s="286"/>
      <c r="N1" s="286"/>
      <c r="O1" s="286"/>
      <c r="P1" s="286"/>
      <c r="Q1" s="286"/>
    </row>
    <row r="2" spans="1:17">
      <c r="A2" s="9" t="s">
        <v>33</v>
      </c>
      <c r="B2" s="14">
        <f>'Warrant 1'!AN18</f>
        <v>0</v>
      </c>
      <c r="C2" s="4"/>
      <c r="D2" s="5" t="s">
        <v>9</v>
      </c>
      <c r="E2" s="14">
        <f>IF('Warrant 1'!W9&gt;2,2,'Warrant 1'!W9)</f>
        <v>0</v>
      </c>
      <c r="F2" s="4"/>
      <c r="G2" s="5" t="s">
        <v>10</v>
      </c>
      <c r="H2" s="13">
        <f>IF('Warrant 1'!W10&gt;2,2,'Warrant 1'!W10)</f>
        <v>0</v>
      </c>
      <c r="I2" s="4"/>
      <c r="J2" s="4"/>
      <c r="K2" s="6" t="s">
        <v>7</v>
      </c>
      <c r="L2" s="6" t="s">
        <v>8</v>
      </c>
      <c r="M2" s="286"/>
      <c r="N2" s="286"/>
      <c r="O2" s="286"/>
      <c r="P2" s="294"/>
      <c r="Q2" s="294"/>
    </row>
    <row r="3" spans="1:17">
      <c r="A3" s="1163" t="s">
        <v>11</v>
      </c>
      <c r="B3" s="1163"/>
      <c r="C3" s="1163"/>
      <c r="D3" s="1163"/>
      <c r="E3" s="4"/>
      <c r="F3" s="1163" t="s">
        <v>12</v>
      </c>
      <c r="G3" s="1163"/>
      <c r="H3" s="1163"/>
      <c r="I3" s="1163"/>
      <c r="J3" s="4"/>
      <c r="K3" s="1164" t="s">
        <v>13</v>
      </c>
      <c r="L3" s="1164"/>
      <c r="M3" s="301"/>
      <c r="N3" s="239"/>
      <c r="O3" s="239"/>
      <c r="P3" s="239"/>
      <c r="Q3" s="239"/>
    </row>
    <row r="4" spans="1:17">
      <c r="A4" s="7">
        <v>500</v>
      </c>
      <c r="B4" s="7">
        <v>350</v>
      </c>
      <c r="C4" s="7">
        <v>600</v>
      </c>
      <c r="D4" s="7">
        <v>420</v>
      </c>
      <c r="E4" s="12">
        <f>(B2*10)+E2</f>
        <v>0</v>
      </c>
      <c r="F4" s="7">
        <v>750</v>
      </c>
      <c r="G4" s="7">
        <v>525</v>
      </c>
      <c r="H4" s="7">
        <v>900</v>
      </c>
      <c r="I4" s="7">
        <v>630</v>
      </c>
      <c r="K4" s="8">
        <f>IF(E4=0,20,IF(E4=1,A4,IF(E4=2,C4,IF(E4=11,B4,D4))))</f>
        <v>20</v>
      </c>
      <c r="L4" s="14">
        <f>IF(E4=0,20,IF(E4=1,F4,IF(E4=2,H4,IF(E4=11,G4,I4))))</f>
        <v>20</v>
      </c>
      <c r="M4" s="301"/>
      <c r="N4" s="239"/>
      <c r="O4" s="239"/>
      <c r="P4" s="239"/>
      <c r="Q4" s="239"/>
    </row>
    <row r="5" spans="1:17">
      <c r="A5" s="10">
        <v>400</v>
      </c>
      <c r="B5" s="10">
        <v>280</v>
      </c>
      <c r="C5" s="10">
        <v>480</v>
      </c>
      <c r="D5" s="10">
        <v>336</v>
      </c>
      <c r="E5" s="11"/>
      <c r="F5" s="10">
        <v>600</v>
      </c>
      <c r="G5" s="10">
        <v>420</v>
      </c>
      <c r="H5" s="10">
        <v>720</v>
      </c>
      <c r="I5" s="10">
        <v>504</v>
      </c>
      <c r="J5" s="4"/>
      <c r="K5" s="14">
        <f>IF(E6=0,20,IF(E6=1,A6,IF(E6=2,C6,IF(E6=11,B6,D6))))</f>
        <v>20</v>
      </c>
      <c r="L5" s="14">
        <f>IF(E6=0,20,IF(E6=1,F6,IF(E6=2,H6,IF(E6=11,G6,I6))))</f>
        <v>20</v>
      </c>
      <c r="M5" s="301"/>
      <c r="N5" s="239"/>
      <c r="O5" s="239"/>
      <c r="P5" s="239"/>
      <c r="Q5" s="239"/>
    </row>
    <row r="6" spans="1:17">
      <c r="A6" s="15">
        <v>150</v>
      </c>
      <c r="B6" s="15">
        <v>105</v>
      </c>
      <c r="C6" s="15">
        <v>200</v>
      </c>
      <c r="D6" s="15">
        <v>140</v>
      </c>
      <c r="E6" s="16">
        <f>(B2*10)+H2</f>
        <v>0</v>
      </c>
      <c r="F6" s="15">
        <v>75</v>
      </c>
      <c r="G6" s="15">
        <v>53</v>
      </c>
      <c r="H6" s="15">
        <v>100</v>
      </c>
      <c r="I6" s="15">
        <v>70</v>
      </c>
      <c r="J6" s="4"/>
      <c r="K6" s="1165" t="s">
        <v>14</v>
      </c>
      <c r="L6" s="1165"/>
      <c r="M6" s="301"/>
      <c r="N6" s="239"/>
      <c r="O6" s="239"/>
      <c r="P6" s="239"/>
      <c r="Q6" s="239"/>
    </row>
    <row r="7" spans="1:17">
      <c r="A7" s="7">
        <v>120</v>
      </c>
      <c r="B7" s="7">
        <v>84</v>
      </c>
      <c r="C7" s="7">
        <v>160</v>
      </c>
      <c r="D7" s="7">
        <v>112</v>
      </c>
      <c r="E7" s="4"/>
      <c r="F7" s="7">
        <v>60</v>
      </c>
      <c r="G7" s="7">
        <v>42</v>
      </c>
      <c r="H7" s="7">
        <v>80</v>
      </c>
      <c r="I7" s="7">
        <v>56</v>
      </c>
      <c r="J7" s="4"/>
      <c r="K7" s="14">
        <f>IF(E4=0,10,IF(E4=1,A5,IF(E4=2,C5,IF(E4=11,B5,D5))))</f>
        <v>10</v>
      </c>
      <c r="L7" s="14">
        <f>IF(E4=0,10,IF(E4=1,F5,IF(E4=2,H5,IF(E4=11,G5,I5))))</f>
        <v>10</v>
      </c>
      <c r="M7" s="301"/>
      <c r="N7" s="239"/>
      <c r="O7" s="239"/>
      <c r="P7" s="239"/>
      <c r="Q7" s="239"/>
    </row>
    <row r="8" spans="1:17">
      <c r="A8" s="4"/>
      <c r="B8" s="4"/>
      <c r="C8" s="4"/>
      <c r="D8" s="4"/>
      <c r="E8" s="4"/>
      <c r="F8" s="4"/>
      <c r="G8" s="4"/>
      <c r="H8" s="4"/>
      <c r="I8" s="4"/>
      <c r="J8" s="4"/>
      <c r="K8" s="14">
        <f>IF(E6=0,10,IF(E6=1,A7,IF(E6=2,C7,IF(E6=11,B7,D7))))</f>
        <v>10</v>
      </c>
      <c r="L8" s="14">
        <f>IF(E6=0,10,IF(E6=1,F7,IF(E6=2,H7,IF(E6=11,G7,I7))))</f>
        <v>10</v>
      </c>
      <c r="M8" s="301"/>
      <c r="N8" s="239"/>
      <c r="O8" s="239"/>
      <c r="P8" s="239"/>
      <c r="Q8" s="239"/>
    </row>
    <row r="9" spans="1:17">
      <c r="A9" s="295"/>
      <c r="B9" s="296"/>
      <c r="C9" s="296"/>
      <c r="D9" s="296"/>
      <c r="E9" s="296"/>
      <c r="F9" s="296"/>
      <c r="G9" s="296"/>
      <c r="H9" s="297"/>
      <c r="I9" s="298"/>
      <c r="J9" s="299"/>
      <c r="K9" s="300"/>
      <c r="L9" s="45"/>
      <c r="M9" s="301"/>
      <c r="N9" s="239"/>
      <c r="O9" s="239"/>
      <c r="P9" s="239"/>
      <c r="Q9" s="239"/>
    </row>
    <row r="10" spans="1:17" ht="15.75">
      <c r="A10" s="1161" t="s">
        <v>248</v>
      </c>
      <c r="B10" s="1161"/>
      <c r="C10" s="1161"/>
      <c r="D10" s="1161"/>
      <c r="E10" s="1161"/>
      <c r="F10" s="1161"/>
      <c r="G10" s="1161"/>
      <c r="H10" s="1161"/>
      <c r="I10" s="1161"/>
      <c r="J10" s="1161"/>
      <c r="K10" s="1161"/>
      <c r="L10" s="1161"/>
      <c r="M10" s="322"/>
      <c r="N10" s="322"/>
      <c r="O10" s="239"/>
      <c r="P10" s="239"/>
      <c r="Q10" s="239"/>
    </row>
    <row r="11" spans="1:17">
      <c r="A11" s="323"/>
      <c r="B11" s="323"/>
      <c r="C11" s="323"/>
      <c r="D11" s="323"/>
      <c r="E11" s="93"/>
      <c r="F11" s="323"/>
      <c r="G11" s="323"/>
      <c r="H11" s="323"/>
      <c r="I11" s="323"/>
      <c r="J11" s="93"/>
      <c r="K11" s="371" t="s">
        <v>7</v>
      </c>
      <c r="L11" s="371" t="s">
        <v>8</v>
      </c>
      <c r="M11" s="323"/>
      <c r="N11" s="323"/>
      <c r="O11" s="239"/>
      <c r="P11" s="239"/>
      <c r="Q11" s="239"/>
    </row>
    <row r="12" spans="1:17">
      <c r="A12" s="324"/>
      <c r="B12" s="324"/>
      <c r="C12" s="325"/>
      <c r="D12" s="325"/>
      <c r="E12" s="97"/>
      <c r="F12" s="324"/>
      <c r="G12" s="324"/>
      <c r="H12" s="325"/>
      <c r="I12" s="325"/>
      <c r="J12" s="97"/>
      <c r="K12" s="1162" t="s">
        <v>14</v>
      </c>
      <c r="L12" s="1162"/>
      <c r="M12" s="325"/>
      <c r="N12" s="325"/>
      <c r="O12" s="239"/>
      <c r="P12" s="239"/>
      <c r="Q12" s="239"/>
    </row>
    <row r="13" spans="1:17">
      <c r="A13" s="97"/>
      <c r="B13" s="326"/>
      <c r="C13" s="326"/>
      <c r="D13" s="97"/>
      <c r="E13" s="97"/>
      <c r="F13" s="97"/>
      <c r="G13" s="326"/>
      <c r="H13" s="326"/>
      <c r="I13" s="97"/>
      <c r="J13" s="97"/>
      <c r="K13" s="95" t="str">
        <f>IF(E2=0,"",IF(E2=1,A5,C5))</f>
        <v/>
      </c>
      <c r="L13" s="95" t="str">
        <f>IF(E2=0,"",IF(E2=1,F5,H5))</f>
        <v/>
      </c>
      <c r="M13" s="326"/>
      <c r="N13" s="97"/>
      <c r="O13" s="239"/>
      <c r="P13" s="239"/>
      <c r="Q13" s="239"/>
    </row>
    <row r="14" spans="1:17">
      <c r="A14" s="97"/>
      <c r="B14" s="326"/>
      <c r="C14" s="326"/>
      <c r="D14" s="97"/>
      <c r="E14" s="97"/>
      <c r="F14" s="97"/>
      <c r="G14" s="326"/>
      <c r="H14" s="326"/>
      <c r="I14" s="97"/>
      <c r="J14" s="97"/>
      <c r="K14" s="95" t="str">
        <f>IF(H2=0,"",IF(H2=1,A7,C7))</f>
        <v/>
      </c>
      <c r="L14" s="95" t="str">
        <f>IF(H2=0,"",IF(H2=1,F7,H7))</f>
        <v/>
      </c>
      <c r="M14" s="326"/>
      <c r="N14" s="97"/>
      <c r="O14" s="239"/>
      <c r="P14" s="239"/>
      <c r="Q14" s="239"/>
    </row>
    <row r="15" spans="1:17">
      <c r="A15" s="97"/>
      <c r="B15" s="326"/>
      <c r="C15" s="326"/>
      <c r="D15" s="97"/>
      <c r="E15" s="97"/>
      <c r="F15" s="97"/>
      <c r="G15" s="326"/>
      <c r="H15" s="326"/>
      <c r="I15" s="97"/>
      <c r="J15" s="97"/>
      <c r="K15" s="97"/>
      <c r="L15" s="326"/>
      <c r="M15" s="326"/>
      <c r="N15" s="97"/>
      <c r="O15" s="239"/>
      <c r="P15" s="239"/>
      <c r="Q15" s="239"/>
    </row>
    <row r="16" spans="1:17">
      <c r="A16" s="97"/>
      <c r="B16" s="327"/>
      <c r="C16" s="327"/>
      <c r="D16" s="97"/>
      <c r="E16" s="97"/>
      <c r="F16" s="97"/>
      <c r="G16" s="327"/>
      <c r="H16" s="327"/>
      <c r="I16" s="97"/>
      <c r="J16" s="97"/>
      <c r="K16" s="97"/>
      <c r="L16" s="327"/>
      <c r="M16" s="327"/>
      <c r="N16" s="97"/>
      <c r="O16" s="239"/>
      <c r="P16" s="239"/>
      <c r="Q16" s="239"/>
    </row>
    <row r="17" spans="1:17">
      <c r="A17" s="97"/>
      <c r="B17" s="327"/>
      <c r="C17" s="327"/>
      <c r="D17" s="97"/>
      <c r="E17" s="97"/>
      <c r="F17" s="97"/>
      <c r="G17" s="327"/>
      <c r="H17" s="327"/>
      <c r="I17" s="97"/>
      <c r="J17" s="97"/>
      <c r="K17" s="97"/>
      <c r="L17" s="327"/>
      <c r="M17" s="327"/>
      <c r="N17" s="97"/>
      <c r="O17" s="239"/>
      <c r="P17" s="239"/>
      <c r="Q17" s="239"/>
    </row>
    <row r="18" spans="1:17">
      <c r="A18" s="97"/>
      <c r="B18" s="97"/>
      <c r="C18" s="97"/>
      <c r="D18" s="97"/>
      <c r="E18" s="97"/>
      <c r="F18" s="97"/>
      <c r="G18" s="97"/>
      <c r="H18" s="97"/>
      <c r="I18" s="97"/>
      <c r="J18" s="97"/>
      <c r="K18" s="97"/>
      <c r="L18" s="97"/>
      <c r="M18" s="97"/>
      <c r="N18" s="97"/>
      <c r="O18" s="239"/>
      <c r="P18" s="239"/>
      <c r="Q18" s="239"/>
    </row>
    <row r="19" spans="1:17">
      <c r="A19" s="323"/>
      <c r="B19" s="323"/>
      <c r="C19" s="323"/>
      <c r="D19" s="323"/>
      <c r="E19" s="93"/>
      <c r="F19" s="323"/>
      <c r="G19" s="323"/>
      <c r="H19" s="323"/>
      <c r="I19" s="323"/>
      <c r="J19" s="93"/>
      <c r="K19" s="323"/>
      <c r="L19" s="323"/>
      <c r="M19" s="323"/>
      <c r="N19" s="323"/>
      <c r="O19" s="239"/>
      <c r="P19" s="239"/>
      <c r="Q19" s="239"/>
    </row>
    <row r="20" spans="1:17">
      <c r="A20" s="325"/>
      <c r="B20" s="325"/>
      <c r="C20" s="325"/>
      <c r="D20" s="325"/>
      <c r="E20" s="97"/>
      <c r="F20" s="325"/>
      <c r="G20" s="325"/>
      <c r="H20" s="325"/>
      <c r="I20" s="325"/>
      <c r="J20" s="97"/>
      <c r="K20" s="325"/>
      <c r="L20" s="325"/>
      <c r="M20" s="325"/>
      <c r="N20" s="325"/>
      <c r="O20" s="239"/>
      <c r="P20" s="239"/>
      <c r="Q20" s="239"/>
    </row>
    <row r="21" spans="1:17">
      <c r="A21" s="97"/>
      <c r="B21" s="326"/>
      <c r="C21" s="326"/>
      <c r="D21" s="97"/>
      <c r="E21" s="97"/>
      <c r="F21" s="97"/>
      <c r="G21" s="326"/>
      <c r="H21" s="326"/>
      <c r="I21" s="97"/>
      <c r="J21" s="97"/>
      <c r="K21" s="97"/>
      <c r="L21" s="326"/>
      <c r="M21" s="326"/>
      <c r="N21" s="97"/>
      <c r="O21" s="239"/>
      <c r="P21" s="239"/>
      <c r="Q21" s="239"/>
    </row>
    <row r="22" spans="1:17">
      <c r="A22" s="97"/>
      <c r="B22" s="326"/>
      <c r="C22" s="326"/>
      <c r="D22" s="97"/>
      <c r="E22" s="97"/>
      <c r="F22" s="97"/>
      <c r="G22" s="326"/>
      <c r="H22" s="326"/>
      <c r="I22" s="97"/>
      <c r="J22" s="97"/>
      <c r="K22" s="97"/>
      <c r="L22" s="326"/>
      <c r="M22" s="326"/>
      <c r="N22" s="97"/>
      <c r="O22" s="239"/>
      <c r="P22" s="239"/>
      <c r="Q22" s="239"/>
    </row>
    <row r="23" spans="1:17">
      <c r="A23" s="97"/>
      <c r="B23" s="326"/>
      <c r="C23" s="326"/>
      <c r="D23" s="97"/>
      <c r="E23" s="97"/>
      <c r="F23" s="97"/>
      <c r="G23" s="326"/>
      <c r="H23" s="326"/>
      <c r="I23" s="97"/>
      <c r="J23" s="97"/>
      <c r="K23" s="97"/>
      <c r="L23" s="326"/>
      <c r="M23" s="326"/>
      <c r="N23" s="97"/>
      <c r="O23" s="239"/>
      <c r="P23" s="239"/>
      <c r="Q23" s="239"/>
    </row>
    <row r="24" spans="1:17">
      <c r="A24" s="97"/>
      <c r="B24" s="327"/>
      <c r="C24" s="327"/>
      <c r="D24" s="97"/>
      <c r="E24" s="97"/>
      <c r="F24" s="97"/>
      <c r="G24" s="327"/>
      <c r="H24" s="327"/>
      <c r="I24" s="97"/>
      <c r="J24" s="97"/>
      <c r="K24" s="97"/>
      <c r="L24" s="327"/>
      <c r="M24" s="327"/>
      <c r="N24" s="97"/>
      <c r="O24" s="239"/>
      <c r="P24" s="239"/>
      <c r="Q24" s="239"/>
    </row>
    <row r="25" spans="1:17">
      <c r="A25" s="97"/>
      <c r="B25" s="327"/>
      <c r="C25" s="327"/>
      <c r="D25" s="97"/>
      <c r="E25" s="97"/>
      <c r="F25" s="97"/>
      <c r="G25" s="327"/>
      <c r="H25" s="327"/>
      <c r="I25" s="97"/>
      <c r="J25" s="97"/>
      <c r="K25" s="97"/>
      <c r="L25" s="327"/>
      <c r="M25" s="327"/>
      <c r="N25" s="97"/>
      <c r="O25" s="239"/>
      <c r="P25" s="239"/>
      <c r="Q25" s="239"/>
    </row>
    <row r="26" spans="1:17">
      <c r="A26" s="295"/>
      <c r="B26" s="296"/>
      <c r="C26" s="296"/>
      <c r="D26" s="296"/>
      <c r="E26" s="296"/>
      <c r="F26" s="296"/>
      <c r="G26" s="296"/>
      <c r="H26" s="297"/>
      <c r="I26" s="298"/>
      <c r="J26" s="299"/>
      <c r="K26" s="300"/>
      <c r="L26" s="45"/>
      <c r="M26" s="301"/>
      <c r="N26" s="239"/>
      <c r="O26" s="239"/>
      <c r="P26" s="239"/>
      <c r="Q26" s="239"/>
    </row>
    <row r="27" spans="1:17">
      <c r="A27" s="45"/>
      <c r="B27" s="45"/>
      <c r="C27" s="45"/>
      <c r="D27" s="45"/>
      <c r="E27" s="45"/>
      <c r="F27" s="45"/>
      <c r="G27" s="45"/>
      <c r="H27" s="302"/>
      <c r="I27" s="303"/>
      <c r="J27" s="304"/>
      <c r="K27" s="305"/>
      <c r="L27" s="45"/>
      <c r="M27" s="45"/>
      <c r="N27" s="45"/>
      <c r="O27" s="45"/>
      <c r="P27" s="45"/>
      <c r="Q27" s="45"/>
    </row>
    <row r="36" spans="1:17">
      <c r="A36" s="306"/>
      <c r="B36" s="306"/>
      <c r="C36" s="306"/>
      <c r="D36" s="306"/>
      <c r="F36" s="306"/>
      <c r="G36" s="306"/>
      <c r="H36" s="306"/>
      <c r="I36" s="306"/>
      <c r="N36" s="17"/>
      <c r="P36" s="17"/>
    </row>
    <row r="37" spans="1:17">
      <c r="A37" s="17"/>
      <c r="B37" s="17"/>
      <c r="C37" s="17"/>
      <c r="D37" s="17"/>
      <c r="F37" s="17"/>
      <c r="G37" s="17"/>
      <c r="H37" s="17"/>
      <c r="I37" s="17"/>
      <c r="N37" s="17"/>
      <c r="P37" s="21"/>
    </row>
    <row r="38" spans="1:17">
      <c r="A38" s="2"/>
      <c r="B38" s="23"/>
      <c r="C38" s="23"/>
      <c r="D38" s="22"/>
      <c r="F38" s="2"/>
      <c r="G38" s="23"/>
      <c r="H38" s="23"/>
      <c r="I38" s="22"/>
      <c r="N38" s="20"/>
      <c r="O38" s="24"/>
      <c r="P38" s="20"/>
      <c r="Q38" s="24"/>
    </row>
    <row r="39" spans="1:17">
      <c r="A39" s="2"/>
      <c r="B39" s="23"/>
      <c r="C39" s="23"/>
      <c r="D39" s="22"/>
      <c r="F39" s="2"/>
      <c r="G39" s="23"/>
      <c r="H39" s="23"/>
      <c r="I39" s="22"/>
      <c r="N39" s="20"/>
      <c r="O39" s="24"/>
      <c r="P39" s="20"/>
      <c r="Q39" s="24"/>
    </row>
    <row r="40" spans="1:17">
      <c r="A40" s="2"/>
      <c r="B40" s="23"/>
      <c r="C40" s="23"/>
      <c r="D40" s="22"/>
      <c r="F40" s="2"/>
      <c r="G40" s="23"/>
      <c r="H40" s="23"/>
      <c r="I40" s="22"/>
      <c r="N40" s="20"/>
      <c r="O40" s="24"/>
      <c r="P40" s="20"/>
      <c r="Q40" s="24"/>
    </row>
    <row r="41" spans="1:17">
      <c r="A41" s="2"/>
      <c r="B41" s="23"/>
      <c r="C41" s="23"/>
      <c r="D41" s="22"/>
      <c r="F41" s="2"/>
      <c r="G41" s="23"/>
      <c r="H41" s="23"/>
      <c r="I41" s="22"/>
      <c r="N41" s="20"/>
      <c r="O41" s="24"/>
      <c r="P41" s="20"/>
      <c r="Q41" s="24"/>
    </row>
    <row r="42" spans="1:17">
      <c r="A42" s="2"/>
      <c r="B42" s="23"/>
      <c r="C42" s="23"/>
      <c r="D42" s="22"/>
      <c r="F42" s="2"/>
      <c r="G42" s="23"/>
      <c r="H42" s="23"/>
      <c r="I42" s="22"/>
      <c r="N42" s="20"/>
      <c r="O42" s="24"/>
      <c r="P42" s="20"/>
      <c r="Q42" s="24"/>
    </row>
    <row r="43" spans="1:17">
      <c r="A43" s="2"/>
      <c r="B43" s="23"/>
      <c r="C43" s="23"/>
      <c r="D43" s="22"/>
      <c r="F43" s="2"/>
      <c r="G43" s="23"/>
      <c r="H43" s="23"/>
      <c r="I43" s="22"/>
      <c r="N43" s="20"/>
      <c r="O43" s="24"/>
      <c r="P43" s="20"/>
      <c r="Q43" s="24"/>
    </row>
    <row r="44" spans="1:17">
      <c r="A44" s="2"/>
      <c r="B44" s="23"/>
      <c r="C44" s="23"/>
      <c r="D44" s="22"/>
      <c r="F44" s="2"/>
      <c r="G44" s="23"/>
      <c r="H44" s="23"/>
      <c r="I44" s="22"/>
      <c r="N44" s="20"/>
      <c r="O44" s="24"/>
      <c r="P44" s="20"/>
      <c r="Q44" s="24"/>
    </row>
    <row r="45" spans="1:17">
      <c r="A45" s="2"/>
      <c r="B45" s="23"/>
      <c r="C45" s="23"/>
      <c r="D45" s="22"/>
      <c r="F45" s="2"/>
      <c r="G45" s="23"/>
      <c r="H45" s="23"/>
      <c r="I45" s="22"/>
      <c r="N45" s="20"/>
      <c r="O45" s="24"/>
      <c r="P45" s="20"/>
      <c r="Q45" s="24"/>
    </row>
    <row r="46" spans="1:17">
      <c r="A46" s="2"/>
      <c r="B46" s="23"/>
      <c r="C46" s="23"/>
      <c r="D46" s="22"/>
      <c r="F46" s="2"/>
      <c r="G46" s="23"/>
      <c r="H46" s="23"/>
      <c r="I46" s="22"/>
      <c r="N46" s="20"/>
      <c r="O46" s="24"/>
      <c r="P46" s="20"/>
      <c r="Q46" s="24"/>
    </row>
    <row r="47" spans="1:17">
      <c r="A47" s="2"/>
      <c r="B47" s="23"/>
      <c r="C47" s="23"/>
      <c r="D47" s="22"/>
      <c r="F47" s="2"/>
      <c r="G47" s="23"/>
      <c r="H47" s="23"/>
      <c r="I47" s="22"/>
      <c r="N47" s="20"/>
      <c r="O47" s="24"/>
      <c r="P47" s="20"/>
      <c r="Q47" s="24"/>
    </row>
    <row r="48" spans="1:17">
      <c r="A48" s="2"/>
      <c r="B48" s="23"/>
      <c r="C48" s="23"/>
      <c r="D48" s="22"/>
      <c r="F48" s="2"/>
      <c r="G48" s="23"/>
      <c r="H48" s="23"/>
      <c r="I48" s="22"/>
      <c r="N48" s="20"/>
      <c r="O48" s="24"/>
      <c r="P48" s="20"/>
      <c r="Q48" s="24"/>
    </row>
    <row r="49" spans="1:17">
      <c r="A49" s="2"/>
      <c r="B49" s="23"/>
      <c r="C49" s="23"/>
      <c r="D49" s="22"/>
      <c r="F49" s="2"/>
      <c r="G49" s="23"/>
      <c r="H49" s="23"/>
      <c r="I49" s="22"/>
      <c r="N49" s="20"/>
      <c r="O49" s="24"/>
      <c r="P49" s="20"/>
      <c r="Q49" s="24"/>
    </row>
    <row r="50" spans="1:17">
      <c r="A50" s="2"/>
      <c r="B50" s="23"/>
      <c r="C50" s="23"/>
      <c r="D50" s="22"/>
      <c r="F50" s="2"/>
      <c r="G50" s="23"/>
      <c r="H50" s="23"/>
      <c r="I50" s="22"/>
      <c r="N50" s="20"/>
      <c r="O50" s="24"/>
      <c r="P50" s="20"/>
      <c r="Q50" s="24"/>
    </row>
    <row r="51" spans="1:17">
      <c r="A51" s="2"/>
      <c r="B51" s="23"/>
      <c r="C51" s="23"/>
      <c r="D51" s="22"/>
      <c r="F51" s="2"/>
      <c r="G51" s="23"/>
      <c r="H51" s="23"/>
      <c r="I51" s="22"/>
      <c r="N51" s="20"/>
      <c r="O51" s="24"/>
      <c r="P51" s="20"/>
      <c r="Q51" s="24"/>
    </row>
    <row r="52" spans="1:17">
      <c r="A52" s="2"/>
      <c r="B52" s="23"/>
      <c r="C52" s="23"/>
      <c r="D52" s="22"/>
      <c r="F52" s="2"/>
      <c r="G52" s="23"/>
      <c r="H52" s="23"/>
      <c r="I52" s="22"/>
      <c r="N52" s="20"/>
      <c r="O52" s="24"/>
      <c r="P52" s="20"/>
      <c r="Q52" s="24"/>
    </row>
    <row r="53" spans="1:17">
      <c r="A53" s="2"/>
      <c r="B53" s="23"/>
      <c r="C53" s="23"/>
      <c r="D53" s="22"/>
      <c r="F53" s="2"/>
      <c r="G53" s="23"/>
      <c r="H53" s="23"/>
      <c r="I53" s="22"/>
      <c r="N53" s="20"/>
      <c r="O53" s="24"/>
      <c r="P53" s="20"/>
      <c r="Q53" s="24"/>
    </row>
    <row r="54" spans="1:17">
      <c r="A54" s="2"/>
      <c r="B54" s="23"/>
      <c r="C54" s="23"/>
      <c r="D54" s="22"/>
      <c r="F54" s="2"/>
      <c r="G54" s="23"/>
      <c r="H54" s="23"/>
      <c r="I54" s="22"/>
      <c r="N54" s="20"/>
      <c r="O54" s="24"/>
      <c r="P54" s="20"/>
      <c r="Q54" s="24"/>
    </row>
    <row r="55" spans="1:17">
      <c r="A55" s="2"/>
      <c r="B55" s="23"/>
      <c r="C55" s="23"/>
      <c r="D55" s="22"/>
      <c r="F55" s="2"/>
      <c r="G55" s="23"/>
      <c r="H55" s="23"/>
      <c r="I55" s="22"/>
      <c r="N55" s="20"/>
      <c r="O55" s="24"/>
      <c r="P55" s="20"/>
      <c r="Q55" s="24"/>
    </row>
    <row r="56" spans="1:17">
      <c r="A56" s="2"/>
      <c r="B56" s="23"/>
      <c r="C56" s="23"/>
      <c r="D56" s="22"/>
      <c r="F56" s="2"/>
      <c r="G56" s="23"/>
      <c r="H56" s="23"/>
      <c r="I56" s="22"/>
      <c r="N56" s="20"/>
      <c r="O56" s="24"/>
      <c r="P56" s="20"/>
      <c r="Q56" s="24"/>
    </row>
    <row r="57" spans="1:17">
      <c r="A57" s="2"/>
      <c r="B57" s="23"/>
      <c r="C57" s="23"/>
      <c r="D57" s="22"/>
      <c r="F57" s="2"/>
      <c r="G57" s="23"/>
      <c r="H57" s="23"/>
      <c r="I57" s="22"/>
      <c r="N57" s="20"/>
      <c r="O57" s="24"/>
      <c r="P57" s="20"/>
      <c r="Q57" s="24"/>
    </row>
    <row r="58" spans="1:17">
      <c r="A58" s="2"/>
      <c r="B58" s="23"/>
      <c r="C58" s="23"/>
      <c r="D58" s="22"/>
      <c r="F58" s="2"/>
      <c r="G58" s="23"/>
      <c r="H58" s="23"/>
      <c r="I58" s="22"/>
      <c r="N58" s="20"/>
      <c r="O58" s="24"/>
      <c r="P58" s="20"/>
      <c r="Q58" s="24"/>
    </row>
    <row r="59" spans="1:17">
      <c r="A59" s="2"/>
      <c r="B59" s="23"/>
      <c r="C59" s="23"/>
      <c r="D59" s="22"/>
      <c r="F59" s="2"/>
      <c r="G59" s="23"/>
      <c r="H59" s="23"/>
      <c r="I59" s="22"/>
      <c r="N59" s="20"/>
      <c r="O59" s="24"/>
      <c r="P59" s="20"/>
      <c r="Q59" s="24"/>
    </row>
    <row r="60" spans="1:17">
      <c r="A60" s="2"/>
      <c r="B60" s="23"/>
      <c r="C60" s="23"/>
      <c r="D60" s="22"/>
      <c r="F60" s="2"/>
      <c r="G60" s="23"/>
      <c r="H60" s="23"/>
      <c r="I60" s="22"/>
      <c r="N60" s="20"/>
      <c r="O60" s="24"/>
      <c r="P60" s="20"/>
      <c r="Q60" s="24"/>
    </row>
    <row r="61" spans="1:17">
      <c r="A61" s="2"/>
      <c r="B61" s="23"/>
      <c r="C61" s="23"/>
      <c r="D61" s="22"/>
      <c r="F61" s="2"/>
      <c r="G61" s="23"/>
      <c r="H61" s="23"/>
      <c r="I61" s="22"/>
      <c r="N61" s="20"/>
      <c r="O61" s="24"/>
      <c r="P61" s="20"/>
      <c r="Q61" s="24"/>
    </row>
    <row r="62" spans="1:17">
      <c r="A62" s="45"/>
      <c r="B62" s="45"/>
      <c r="C62" s="45"/>
      <c r="D62" s="307"/>
      <c r="E62" s="45"/>
      <c r="F62" s="45"/>
      <c r="G62" s="45"/>
      <c r="H62" s="45"/>
      <c r="I62" s="307"/>
    </row>
    <row r="63" spans="1:17">
      <c r="A63" s="308"/>
      <c r="B63" s="308"/>
      <c r="C63" s="308"/>
      <c r="D63" s="308"/>
      <c r="E63" s="45"/>
      <c r="F63" s="308"/>
      <c r="G63" s="308"/>
      <c r="H63" s="308"/>
      <c r="I63" s="308"/>
      <c r="N63" s="17"/>
      <c r="P63" s="17"/>
    </row>
    <row r="64" spans="1:17">
      <c r="A64" s="17"/>
      <c r="B64" s="17"/>
      <c r="C64" s="17"/>
      <c r="D64" s="17"/>
      <c r="F64" s="17"/>
      <c r="G64" s="17"/>
      <c r="H64" s="17"/>
      <c r="I64" s="17"/>
      <c r="N64" s="17"/>
      <c r="P64" s="21"/>
    </row>
    <row r="65" spans="1:17">
      <c r="A65" s="2"/>
      <c r="B65" s="23"/>
      <c r="C65" s="23"/>
      <c r="D65" s="61"/>
      <c r="F65" s="2"/>
      <c r="G65" s="23"/>
      <c r="H65" s="23"/>
      <c r="I65" s="61"/>
      <c r="N65" s="20"/>
      <c r="O65" s="24"/>
      <c r="P65" s="20"/>
      <c r="Q65" s="24"/>
    </row>
    <row r="66" spans="1:17">
      <c r="A66" s="2"/>
      <c r="B66" s="23"/>
      <c r="C66" s="23"/>
      <c r="D66" s="61"/>
      <c r="F66" s="2"/>
      <c r="G66" s="23"/>
      <c r="H66" s="23"/>
      <c r="I66" s="61"/>
      <c r="N66" s="20"/>
      <c r="O66" s="24"/>
      <c r="P66" s="20"/>
      <c r="Q66" s="24"/>
    </row>
    <row r="67" spans="1:17">
      <c r="A67" s="2"/>
      <c r="B67" s="23"/>
      <c r="C67" s="23"/>
      <c r="D67" s="61"/>
      <c r="F67" s="2"/>
      <c r="G67" s="23"/>
      <c r="H67" s="23"/>
      <c r="I67" s="61"/>
      <c r="N67" s="20"/>
      <c r="O67" s="24"/>
      <c r="P67" s="20"/>
      <c r="Q67" s="24"/>
    </row>
    <row r="68" spans="1:17">
      <c r="A68" s="2"/>
      <c r="B68" s="23"/>
      <c r="C68" s="23"/>
      <c r="D68" s="61"/>
      <c r="F68" s="2"/>
      <c r="G68" s="23"/>
      <c r="H68" s="23"/>
      <c r="I68" s="61"/>
      <c r="N68" s="20"/>
      <c r="O68" s="24"/>
      <c r="P68" s="20"/>
      <c r="Q68" s="24"/>
    </row>
    <row r="69" spans="1:17">
      <c r="A69" s="2"/>
      <c r="B69" s="23"/>
      <c r="C69" s="23"/>
      <c r="D69" s="61"/>
      <c r="F69" s="2"/>
      <c r="G69" s="23"/>
      <c r="H69" s="23"/>
      <c r="I69" s="61"/>
      <c r="N69" s="20"/>
      <c r="O69" s="24"/>
      <c r="P69" s="20"/>
      <c r="Q69" s="24"/>
    </row>
    <row r="70" spans="1:17">
      <c r="A70" s="2"/>
      <c r="B70" s="23"/>
      <c r="C70" s="23"/>
      <c r="D70" s="61"/>
      <c r="F70" s="2"/>
      <c r="G70" s="23"/>
      <c r="H70" s="23"/>
      <c r="I70" s="61"/>
      <c r="N70" s="20"/>
      <c r="O70" s="24"/>
      <c r="P70" s="20"/>
      <c r="Q70" s="24"/>
    </row>
    <row r="71" spans="1:17">
      <c r="A71" s="2"/>
      <c r="B71" s="23"/>
      <c r="C71" s="23"/>
      <c r="D71" s="61"/>
      <c r="F71" s="2"/>
      <c r="G71" s="23"/>
      <c r="H71" s="23"/>
      <c r="I71" s="61"/>
      <c r="N71" s="20"/>
      <c r="O71" s="24"/>
      <c r="P71" s="20"/>
      <c r="Q71" s="24"/>
    </row>
    <row r="72" spans="1:17">
      <c r="A72" s="2"/>
      <c r="B72" s="23"/>
      <c r="C72" s="23"/>
      <c r="D72" s="61"/>
      <c r="F72" s="2"/>
      <c r="G72" s="23"/>
      <c r="H72" s="23"/>
      <c r="I72" s="61"/>
      <c r="N72" s="20"/>
      <c r="O72" s="24"/>
      <c r="P72" s="20"/>
      <c r="Q72" s="24"/>
    </row>
    <row r="73" spans="1:17">
      <c r="A73" s="2"/>
      <c r="B73" s="23"/>
      <c r="C73" s="23"/>
      <c r="D73" s="61"/>
      <c r="F73" s="2"/>
      <c r="G73" s="23"/>
      <c r="H73" s="23"/>
      <c r="I73" s="61"/>
      <c r="N73" s="20"/>
      <c r="O73" s="24"/>
      <c r="P73" s="20"/>
      <c r="Q73" s="24"/>
    </row>
    <row r="74" spans="1:17">
      <c r="A74" s="2"/>
      <c r="B74" s="23"/>
      <c r="C74" s="23"/>
      <c r="D74" s="61"/>
      <c r="F74" s="2"/>
      <c r="G74" s="23"/>
      <c r="H74" s="23"/>
      <c r="I74" s="61"/>
      <c r="N74" s="20"/>
      <c r="O74" s="24"/>
      <c r="P74" s="20"/>
      <c r="Q74" s="24"/>
    </row>
    <row r="75" spans="1:17">
      <c r="A75" s="2"/>
      <c r="B75" s="23"/>
      <c r="C75" s="23"/>
      <c r="D75" s="61"/>
      <c r="F75" s="2"/>
      <c r="G75" s="23"/>
      <c r="H75" s="23"/>
      <c r="I75" s="61"/>
      <c r="N75" s="20"/>
      <c r="O75" s="24"/>
      <c r="P75" s="20"/>
      <c r="Q75" s="24"/>
    </row>
    <row r="76" spans="1:17">
      <c r="A76" s="2"/>
      <c r="B76" s="23"/>
      <c r="C76" s="23"/>
      <c r="D76" s="61"/>
      <c r="F76" s="2"/>
      <c r="G76" s="23"/>
      <c r="H76" s="23"/>
      <c r="I76" s="61"/>
      <c r="N76" s="20"/>
      <c r="O76" s="24"/>
      <c r="P76" s="20"/>
      <c r="Q76" s="24"/>
    </row>
    <row r="77" spans="1:17">
      <c r="A77" s="2"/>
      <c r="B77" s="23"/>
      <c r="C77" s="23"/>
      <c r="D77" s="61"/>
      <c r="F77" s="2"/>
      <c r="G77" s="23"/>
      <c r="H77" s="23"/>
      <c r="I77" s="61"/>
      <c r="N77" s="20"/>
      <c r="O77" s="24"/>
      <c r="P77" s="20"/>
      <c r="Q77" s="24"/>
    </row>
    <row r="78" spans="1:17">
      <c r="A78" s="2"/>
      <c r="B78" s="23"/>
      <c r="C78" s="23"/>
      <c r="D78" s="61"/>
      <c r="F78" s="2"/>
      <c r="G78" s="23"/>
      <c r="H78" s="23"/>
      <c r="I78" s="61"/>
      <c r="N78" s="20"/>
      <c r="O78" s="24"/>
      <c r="P78" s="20"/>
      <c r="Q78" s="24"/>
    </row>
    <row r="79" spans="1:17">
      <c r="A79" s="2"/>
      <c r="B79" s="23"/>
      <c r="C79" s="23"/>
      <c r="D79" s="61"/>
      <c r="F79" s="2"/>
      <c r="G79" s="23"/>
      <c r="H79" s="23"/>
      <c r="I79" s="61"/>
      <c r="N79" s="20"/>
      <c r="O79" s="24"/>
      <c r="P79" s="20"/>
      <c r="Q79" s="24"/>
    </row>
    <row r="80" spans="1:17">
      <c r="A80" s="2"/>
      <c r="B80" s="23"/>
      <c r="C80" s="23"/>
      <c r="D80" s="61"/>
      <c r="F80" s="2"/>
      <c r="G80" s="23"/>
      <c r="H80" s="23"/>
      <c r="I80" s="61"/>
      <c r="N80" s="20"/>
      <c r="O80" s="24"/>
      <c r="P80" s="20"/>
      <c r="Q80" s="24"/>
    </row>
    <row r="81" spans="1:17">
      <c r="A81" s="2"/>
      <c r="B81" s="23"/>
      <c r="C81" s="23"/>
      <c r="D81" s="61"/>
      <c r="F81" s="2"/>
      <c r="G81" s="23"/>
      <c r="H81" s="23"/>
      <c r="I81" s="61"/>
      <c r="N81" s="20"/>
      <c r="O81" s="24"/>
      <c r="P81" s="20"/>
      <c r="Q81" s="24"/>
    </row>
    <row r="82" spans="1:17">
      <c r="A82" s="2"/>
      <c r="B82" s="23"/>
      <c r="C82" s="23"/>
      <c r="D82" s="61"/>
      <c r="F82" s="2"/>
      <c r="G82" s="23"/>
      <c r="H82" s="23"/>
      <c r="I82" s="61"/>
      <c r="N82" s="20"/>
      <c r="O82" s="24"/>
      <c r="P82" s="20"/>
      <c r="Q82" s="24"/>
    </row>
    <row r="83" spans="1:17">
      <c r="A83" s="2"/>
      <c r="B83" s="23"/>
      <c r="C83" s="23"/>
      <c r="D83" s="61"/>
      <c r="F83" s="2"/>
      <c r="G83" s="23"/>
      <c r="H83" s="23"/>
      <c r="I83" s="61"/>
      <c r="N83" s="20"/>
      <c r="O83" s="24"/>
      <c r="P83" s="20"/>
      <c r="Q83" s="24"/>
    </row>
    <row r="84" spans="1:17">
      <c r="A84" s="2"/>
      <c r="B84" s="23"/>
      <c r="C84" s="23"/>
      <c r="D84" s="61"/>
      <c r="F84" s="2"/>
      <c r="G84" s="23"/>
      <c r="H84" s="23"/>
      <c r="I84" s="61"/>
      <c r="N84" s="20"/>
      <c r="O84" s="24"/>
      <c r="P84" s="20"/>
      <c r="Q84" s="24"/>
    </row>
    <row r="85" spans="1:17">
      <c r="A85" s="2"/>
      <c r="B85" s="23"/>
      <c r="C85" s="23"/>
      <c r="D85" s="61"/>
      <c r="F85" s="2"/>
      <c r="G85" s="23"/>
      <c r="H85" s="23"/>
      <c r="I85" s="61"/>
      <c r="N85" s="20"/>
      <c r="O85" s="24"/>
      <c r="P85" s="20"/>
      <c r="Q85" s="24"/>
    </row>
    <row r="86" spans="1:17">
      <c r="A86" s="2"/>
      <c r="B86" s="23"/>
      <c r="C86" s="23"/>
      <c r="D86" s="61"/>
      <c r="F86" s="2"/>
      <c r="G86" s="23"/>
      <c r="H86" s="23"/>
      <c r="I86" s="61"/>
      <c r="N86" s="20"/>
      <c r="O86" s="24"/>
      <c r="P86" s="20"/>
      <c r="Q86" s="24"/>
    </row>
    <row r="87" spans="1:17">
      <c r="A87" s="2"/>
      <c r="B87" s="23"/>
      <c r="C87" s="23"/>
      <c r="D87" s="61"/>
      <c r="F87" s="2"/>
      <c r="G87" s="23"/>
      <c r="H87" s="23"/>
      <c r="I87" s="61"/>
      <c r="N87" s="20"/>
      <c r="O87" s="24"/>
      <c r="P87" s="20"/>
      <c r="Q87" s="24"/>
    </row>
    <row r="88" spans="1:17">
      <c r="A88" s="2"/>
      <c r="B88" s="23"/>
      <c r="C88" s="23"/>
      <c r="D88" s="61"/>
      <c r="F88" s="2"/>
      <c r="G88" s="23"/>
      <c r="H88" s="23"/>
      <c r="I88" s="61"/>
      <c r="N88" s="20"/>
      <c r="O88" s="24"/>
      <c r="P88" s="20"/>
      <c r="Q88" s="24"/>
    </row>
    <row r="89" spans="1:17">
      <c r="D89" s="309"/>
      <c r="E89" s="45"/>
      <c r="F89" s="45"/>
      <c r="G89" s="45"/>
      <c r="H89" s="45"/>
      <c r="I89" s="309"/>
    </row>
  </sheetData>
  <mergeCells count="7">
    <mergeCell ref="A10:L10"/>
    <mergeCell ref="K12:L12"/>
    <mergeCell ref="A1:L1"/>
    <mergeCell ref="A3:D3"/>
    <mergeCell ref="F3:I3"/>
    <mergeCell ref="K3:L3"/>
    <mergeCell ref="K6:L6"/>
  </mergeCells>
  <conditionalFormatting sqref="C4 H4">
    <cfRule type="expression" dxfId="16" priority="16">
      <formula>$E$4=2</formula>
    </cfRule>
  </conditionalFormatting>
  <conditionalFormatting sqref="A4 F4">
    <cfRule type="expression" dxfId="15" priority="15">
      <formula>$E$4=1</formula>
    </cfRule>
  </conditionalFormatting>
  <conditionalFormatting sqref="B4 G4">
    <cfRule type="expression" dxfId="14" priority="14">
      <formula>$E$4=11</formula>
    </cfRule>
  </conditionalFormatting>
  <conditionalFormatting sqref="D4 I4">
    <cfRule type="expression" dxfId="13" priority="13">
      <formula>$E$4=12</formula>
    </cfRule>
  </conditionalFormatting>
  <conditionalFormatting sqref="A6 F6">
    <cfRule type="expression" dxfId="12" priority="12">
      <formula>$E$6=1</formula>
    </cfRule>
  </conditionalFormatting>
  <conditionalFormatting sqref="C6 H6">
    <cfRule type="expression" dxfId="11" priority="11">
      <formula>$E$6=2</formula>
    </cfRule>
  </conditionalFormatting>
  <conditionalFormatting sqref="B6 G6">
    <cfRule type="expression" dxfId="10" priority="10">
      <formula>$E$6=11</formula>
    </cfRule>
  </conditionalFormatting>
  <conditionalFormatting sqref="D6 I6">
    <cfRule type="expression" dxfId="9" priority="9">
      <formula>$E$6=12</formula>
    </cfRule>
  </conditionalFormatting>
  <conditionalFormatting sqref="F5:I5">
    <cfRule type="cellIs" dxfId="8" priority="8" operator="equal">
      <formula>$L$7</formula>
    </cfRule>
    <cfRule type="cellIs" dxfId="7" priority="3" operator="equal">
      <formula>$L$13</formula>
    </cfRule>
  </conditionalFormatting>
  <conditionalFormatting sqref="F7:I7">
    <cfRule type="cellIs" dxfId="6" priority="7" operator="equal">
      <formula>$L$8</formula>
    </cfRule>
    <cfRule type="cellIs" dxfId="5" priority="1" operator="equal">
      <formula>$L$14</formula>
    </cfRule>
  </conditionalFormatting>
  <conditionalFormatting sqref="A5:D5">
    <cfRule type="cellIs" dxfId="4" priority="6" operator="equal">
      <formula>$K$7</formula>
    </cfRule>
    <cfRule type="cellIs" dxfId="3" priority="4" operator="equal">
      <formula>$K$13</formula>
    </cfRule>
  </conditionalFormatting>
  <conditionalFormatting sqref="A7:D7">
    <cfRule type="cellIs" dxfId="2" priority="5" operator="equal">
      <formula>$K$8</formula>
    </cfRule>
    <cfRule type="cellIs" dxfId="1" priority="2" operator="equal">
      <formula>$K$14</formula>
    </cfRule>
  </conditionalFormatting>
  <pageMargins left="0.7" right="0.7" top="0.75" bottom="0.75" header="0.3" footer="0.3"/>
</worksheet>
</file>

<file path=xl/worksheets/sheet9.xml><?xml version="1.0" encoding="utf-8"?>
<worksheet xmlns="http://schemas.openxmlformats.org/spreadsheetml/2006/main" xmlns:r="http://schemas.openxmlformats.org/officeDocument/2006/relationships">
  <sheetPr codeName="Sheet6">
    <tabColor rgb="FFFFFF00"/>
  </sheetPr>
  <dimension ref="A1:AD125"/>
  <sheetViews>
    <sheetView topLeftCell="M1" workbookViewId="0">
      <selection activeCell="AC11" sqref="AC11:AD11"/>
    </sheetView>
  </sheetViews>
  <sheetFormatPr defaultRowHeight="15"/>
  <cols>
    <col min="1" max="14" width="7.7109375" customWidth="1"/>
    <col min="15" max="15" width="4.7109375" customWidth="1"/>
    <col min="23" max="23" width="4.7109375" customWidth="1"/>
  </cols>
  <sheetData>
    <row r="1" spans="1:30" ht="15.75">
      <c r="A1" s="1173" t="s">
        <v>62</v>
      </c>
      <c r="B1" s="1173"/>
      <c r="C1" s="1173"/>
      <c r="D1" s="1173"/>
      <c r="E1" s="1173"/>
      <c r="F1" s="1173"/>
      <c r="G1" s="1173"/>
      <c r="H1" s="1173"/>
      <c r="I1" s="1173"/>
      <c r="J1" s="1173"/>
      <c r="K1" s="1173"/>
      <c r="L1" s="1173"/>
      <c r="M1" s="1173"/>
      <c r="N1" s="1173"/>
      <c r="P1" s="1170" t="s">
        <v>76</v>
      </c>
      <c r="Q1" s="1171"/>
      <c r="R1" s="1171"/>
      <c r="S1" s="1171"/>
      <c r="T1" s="1172"/>
      <c r="U1" s="475"/>
      <c r="V1" s="475"/>
      <c r="W1" s="98"/>
      <c r="X1" s="1170" t="s">
        <v>86</v>
      </c>
      <c r="Y1" s="1171"/>
      <c r="Z1" s="1171"/>
      <c r="AA1" s="1171"/>
      <c r="AB1" s="1172"/>
    </row>
    <row r="2" spans="1:30">
      <c r="A2" s="1169" t="s">
        <v>63</v>
      </c>
      <c r="B2" s="1169"/>
      <c r="C2" s="1169"/>
      <c r="D2" s="1169"/>
      <c r="E2" s="93"/>
      <c r="F2" s="1169" t="s">
        <v>64</v>
      </c>
      <c r="G2" s="1169"/>
      <c r="H2" s="1169"/>
      <c r="I2" s="1169"/>
      <c r="J2" s="93"/>
      <c r="K2" s="1169" t="s">
        <v>65</v>
      </c>
      <c r="L2" s="1169"/>
      <c r="M2" s="1169"/>
      <c r="N2" s="1169"/>
      <c r="P2" s="101" t="s">
        <v>69</v>
      </c>
      <c r="Q2" s="101" t="s">
        <v>70</v>
      </c>
      <c r="R2" s="173" t="s">
        <v>71</v>
      </c>
      <c r="S2" s="173" t="s">
        <v>70</v>
      </c>
      <c r="T2" s="101" t="s">
        <v>71</v>
      </c>
      <c r="U2" s="476"/>
      <c r="V2" s="476"/>
      <c r="W2" s="98"/>
      <c r="X2" s="101" t="s">
        <v>69</v>
      </c>
      <c r="Y2" s="101" t="s">
        <v>70</v>
      </c>
      <c r="Z2" s="101" t="s">
        <v>71</v>
      </c>
      <c r="AA2" s="101" t="s">
        <v>70</v>
      </c>
      <c r="AB2" s="101" t="s">
        <v>71</v>
      </c>
    </row>
    <row r="3" spans="1:30">
      <c r="A3" s="1174">
        <v>1</v>
      </c>
      <c r="B3" s="1174"/>
      <c r="C3" s="1166"/>
      <c r="D3" s="1166"/>
      <c r="E3" s="92"/>
      <c r="F3" s="1174">
        <v>1</v>
      </c>
      <c r="G3" s="1174"/>
      <c r="H3" s="1166"/>
      <c r="I3" s="1166"/>
      <c r="J3" s="92"/>
      <c r="K3" s="1174">
        <v>1</v>
      </c>
      <c r="L3" s="1174"/>
      <c r="M3" s="1166"/>
      <c r="N3" s="1166"/>
      <c r="P3" s="101" t="s">
        <v>6</v>
      </c>
      <c r="Q3" s="101" t="s">
        <v>70</v>
      </c>
      <c r="R3" s="173" t="s">
        <v>70</v>
      </c>
      <c r="S3" s="173" t="s">
        <v>71</v>
      </c>
      <c r="T3" s="101" t="s">
        <v>71</v>
      </c>
      <c r="U3" s="476"/>
      <c r="V3" s="476"/>
      <c r="W3" s="98"/>
      <c r="X3" s="101" t="s">
        <v>6</v>
      </c>
      <c r="Y3" s="101" t="s">
        <v>70</v>
      </c>
      <c r="Z3" s="101" t="s">
        <v>70</v>
      </c>
      <c r="AA3" s="101" t="s">
        <v>71</v>
      </c>
      <c r="AB3" s="101" t="s">
        <v>71</v>
      </c>
    </row>
    <row r="4" spans="1:30">
      <c r="A4" s="92"/>
      <c r="B4" s="1167">
        <v>2.7404090999999999E-10</v>
      </c>
      <c r="C4" s="1167"/>
      <c r="D4" s="92"/>
      <c r="E4" s="92"/>
      <c r="F4" s="92"/>
      <c r="G4" s="1167">
        <v>1.5500623999999999E-10</v>
      </c>
      <c r="H4" s="1167"/>
      <c r="I4" s="92"/>
      <c r="J4" s="92"/>
      <c r="K4" s="92"/>
      <c r="L4" s="1167">
        <v>4.5643158E-10</v>
      </c>
      <c r="M4" s="1167"/>
      <c r="N4" s="92"/>
      <c r="P4" s="101" t="s">
        <v>26</v>
      </c>
      <c r="Q4" s="101" t="s">
        <v>72</v>
      </c>
      <c r="R4" s="101" t="s">
        <v>73</v>
      </c>
      <c r="S4" s="101" t="s">
        <v>74</v>
      </c>
      <c r="T4" s="101" t="s">
        <v>75</v>
      </c>
      <c r="U4" s="476"/>
      <c r="V4" s="476"/>
      <c r="W4" s="98"/>
      <c r="X4" s="101" t="s">
        <v>26</v>
      </c>
      <c r="Y4" s="101" t="s">
        <v>72</v>
      </c>
      <c r="Z4" s="101" t="s">
        <v>73</v>
      </c>
      <c r="AA4" s="101" t="s">
        <v>74</v>
      </c>
      <c r="AB4" s="101" t="s">
        <v>75</v>
      </c>
    </row>
    <row r="5" spans="1:30">
      <c r="A5" s="92"/>
      <c r="B5" s="1167">
        <v>8.4868485000000002E-7</v>
      </c>
      <c r="C5" s="1167"/>
      <c r="D5" s="92"/>
      <c r="E5" s="92"/>
      <c r="F5" s="92"/>
      <c r="G5" s="1167">
        <v>4.9796780000000002E-7</v>
      </c>
      <c r="H5" s="1167"/>
      <c r="I5" s="92"/>
      <c r="J5" s="92"/>
      <c r="K5" s="92"/>
      <c r="L5" s="1167">
        <v>1.6480146E-6</v>
      </c>
      <c r="M5" s="1167"/>
      <c r="N5" s="92"/>
      <c r="P5" s="178">
        <v>300</v>
      </c>
      <c r="Q5" s="174"/>
      <c r="R5" s="174"/>
      <c r="S5" s="174"/>
      <c r="T5" s="174"/>
      <c r="U5" s="477"/>
      <c r="V5" s="477"/>
      <c r="W5" s="98"/>
      <c r="X5" s="108">
        <v>200</v>
      </c>
      <c r="Y5" s="103"/>
      <c r="Z5" s="103"/>
      <c r="AA5" s="103"/>
      <c r="AB5" s="103"/>
    </row>
    <row r="6" spans="1:30">
      <c r="A6" s="92"/>
      <c r="B6" s="1167">
        <v>1.2001E-3</v>
      </c>
      <c r="C6" s="1167"/>
      <c r="D6" s="92"/>
      <c r="E6" s="92"/>
      <c r="F6" s="92"/>
      <c r="G6" s="1167">
        <v>3.0163431999999997E-4</v>
      </c>
      <c r="H6" s="1167"/>
      <c r="I6" s="92"/>
      <c r="J6" s="92"/>
      <c r="K6" s="92"/>
      <c r="L6" s="1167">
        <v>1.8301999999999999E-3</v>
      </c>
      <c r="M6" s="1167"/>
      <c r="N6" s="92"/>
      <c r="P6" s="178">
        <f>P5+10</f>
        <v>310</v>
      </c>
      <c r="Q6" s="174"/>
      <c r="R6" s="174"/>
      <c r="S6" s="174"/>
      <c r="T6" s="174"/>
      <c r="U6" s="477"/>
      <c r="V6" s="477"/>
      <c r="W6" s="99"/>
      <c r="X6" s="108">
        <v>210</v>
      </c>
      <c r="Y6" s="103"/>
      <c r="Z6" s="103"/>
      <c r="AA6" s="103"/>
      <c r="AB6" s="103"/>
    </row>
    <row r="7" spans="1:30">
      <c r="A7" s="92"/>
      <c r="B7" s="1168">
        <v>1.1448719000000001</v>
      </c>
      <c r="C7" s="1168"/>
      <c r="D7" s="92"/>
      <c r="E7" s="92"/>
      <c r="F7" s="92"/>
      <c r="G7" s="1168">
        <v>0.51914870000000002</v>
      </c>
      <c r="H7" s="1168"/>
      <c r="I7" s="92"/>
      <c r="J7" s="92"/>
      <c r="K7" s="92"/>
      <c r="L7" s="1168">
        <v>0.19646479999999999</v>
      </c>
      <c r="M7" s="1168"/>
      <c r="N7" s="92"/>
      <c r="P7" s="178">
        <f t="shared" ref="P7:P24" si="0">P6+10</f>
        <v>320</v>
      </c>
      <c r="Q7" s="174"/>
      <c r="R7" s="174"/>
      <c r="S7" s="174"/>
      <c r="T7" s="174"/>
      <c r="U7" s="477"/>
      <c r="V7" s="477"/>
      <c r="W7" s="99"/>
      <c r="X7" s="108">
        <v>220</v>
      </c>
      <c r="Y7" s="103"/>
      <c r="Z7" s="103"/>
      <c r="AA7" s="103"/>
      <c r="AB7" s="103"/>
    </row>
    <row r="8" spans="1:30">
      <c r="A8" s="92"/>
      <c r="B8" s="1168">
        <v>620.88226859999997</v>
      </c>
      <c r="C8" s="1168"/>
      <c r="D8" s="92"/>
      <c r="E8" s="92"/>
      <c r="F8" s="92" t="s">
        <v>66</v>
      </c>
      <c r="G8" s="1168">
        <v>620.74857729999997</v>
      </c>
      <c r="H8" s="1168"/>
      <c r="I8" s="92"/>
      <c r="J8" s="92"/>
      <c r="K8" s="92"/>
      <c r="L8" s="1168">
        <v>635.13219019999997</v>
      </c>
      <c r="M8" s="1168"/>
      <c r="N8" s="92"/>
      <c r="P8" s="178">
        <f t="shared" si="0"/>
        <v>330</v>
      </c>
      <c r="Q8" s="174"/>
      <c r="R8" s="174"/>
      <c r="S8" s="174"/>
      <c r="T8" s="174"/>
      <c r="U8" s="477"/>
      <c r="V8" s="477"/>
      <c r="W8" s="99"/>
      <c r="X8" s="108">
        <v>230</v>
      </c>
      <c r="Y8" s="103"/>
      <c r="Z8" s="103"/>
      <c r="AA8" s="103"/>
      <c r="AB8" s="103"/>
    </row>
    <row r="9" spans="1:30">
      <c r="A9" s="92"/>
      <c r="B9" s="92"/>
      <c r="C9" s="92"/>
      <c r="D9" s="92"/>
      <c r="E9" s="92"/>
      <c r="F9" s="92"/>
      <c r="G9" s="92"/>
      <c r="H9" s="92"/>
      <c r="I9" s="92"/>
      <c r="J9" s="92"/>
      <c r="K9" s="92"/>
      <c r="L9" s="92"/>
      <c r="M9" s="92"/>
      <c r="N9" s="92"/>
      <c r="P9" s="178">
        <f t="shared" si="0"/>
        <v>340</v>
      </c>
      <c r="Q9" s="174"/>
      <c r="R9" s="174"/>
      <c r="S9" s="174"/>
      <c r="T9" s="174"/>
      <c r="U9" s="477"/>
      <c r="V9" s="477"/>
      <c r="W9" s="99"/>
      <c r="X9" s="108">
        <v>240</v>
      </c>
      <c r="Y9" s="103"/>
      <c r="Z9" s="103"/>
      <c r="AA9" s="103"/>
      <c r="AB9" s="103"/>
    </row>
    <row r="10" spans="1:30">
      <c r="A10" s="1169" t="s">
        <v>63</v>
      </c>
      <c r="B10" s="1169"/>
      <c r="C10" s="1169"/>
      <c r="D10" s="1169"/>
      <c r="E10" s="93"/>
      <c r="F10" s="1169" t="s">
        <v>64</v>
      </c>
      <c r="G10" s="1169"/>
      <c r="H10" s="1169"/>
      <c r="I10" s="1169"/>
      <c r="J10" s="93"/>
      <c r="K10" s="1169" t="s">
        <v>65</v>
      </c>
      <c r="L10" s="1169"/>
      <c r="M10" s="1169"/>
      <c r="N10" s="1169"/>
      <c r="P10" s="178">
        <f t="shared" si="0"/>
        <v>350</v>
      </c>
      <c r="Q10" s="174"/>
      <c r="R10" s="174"/>
      <c r="S10" s="174"/>
      <c r="T10" s="174"/>
      <c r="U10" s="477"/>
      <c r="V10" s="477"/>
      <c r="W10" s="99"/>
      <c r="X10" s="108">
        <v>250</v>
      </c>
      <c r="Y10" s="103"/>
      <c r="Z10" s="103"/>
      <c r="AA10" s="103"/>
      <c r="AB10" s="103"/>
    </row>
    <row r="11" spans="1:30">
      <c r="A11" s="1166" t="s">
        <v>67</v>
      </c>
      <c r="B11" s="1166"/>
      <c r="C11" s="1166"/>
      <c r="D11" s="1166"/>
      <c r="E11" s="92"/>
      <c r="F11" s="1166" t="s">
        <v>67</v>
      </c>
      <c r="G11" s="1166"/>
      <c r="H11" s="1166"/>
      <c r="I11" s="1166"/>
      <c r="J11" s="92"/>
      <c r="K11" s="1166" t="s">
        <v>67</v>
      </c>
      <c r="L11" s="1166"/>
      <c r="M11" s="1166"/>
      <c r="N11" s="1166"/>
      <c r="P11" s="178">
        <f t="shared" si="0"/>
        <v>360</v>
      </c>
      <c r="Q11" s="174"/>
      <c r="R11" s="174"/>
      <c r="S11" s="174"/>
      <c r="T11" s="174"/>
      <c r="U11" s="477"/>
      <c r="V11" s="477"/>
      <c r="W11" s="99"/>
      <c r="X11" s="108">
        <v>260</v>
      </c>
      <c r="Y11" s="103"/>
      <c r="Z11" s="103"/>
      <c r="AA11" s="103"/>
      <c r="AB11" s="106">
        <f>ROUND(IF(X11&gt;750,60,-($B$12*X11^4)+($B$13*X11^3)-($B$14*X11^2)+($B$15*X11)+$B$16),2)</f>
        <v>222.91</v>
      </c>
      <c r="AC11" s="479">
        <f>IF($B$38+$C$38=4,X$20,IF($B$38=2,X$13,IF($B$38+$C$38=3,X$13,X11)))</f>
        <v>280</v>
      </c>
      <c r="AD11" s="478">
        <f>IF($B$38+$C$38=4,Y$20,IF($B$38=2,AA$13,IF($B$38+$C$38=3,Z$13,AB11)))</f>
        <v>273.52</v>
      </c>
    </row>
    <row r="12" spans="1:30">
      <c r="A12" s="92"/>
      <c r="B12" s="1167">
        <v>1.8045028E-9</v>
      </c>
      <c r="C12" s="1167"/>
      <c r="D12" s="92"/>
      <c r="E12" s="92"/>
      <c r="F12" s="92"/>
      <c r="G12" s="1167">
        <v>3.9680588E-10</v>
      </c>
      <c r="H12" s="1167"/>
      <c r="I12" s="92"/>
      <c r="J12" s="92"/>
      <c r="K12" s="92"/>
      <c r="L12" s="1167">
        <v>1.7592978E-9</v>
      </c>
      <c r="M12" s="1167"/>
      <c r="N12" s="92"/>
      <c r="P12" s="178">
        <f t="shared" si="0"/>
        <v>370</v>
      </c>
      <c r="Q12" s="174"/>
      <c r="R12" s="174"/>
      <c r="S12" s="174"/>
      <c r="T12" s="174"/>
      <c r="U12" s="477"/>
      <c r="V12" s="477"/>
      <c r="W12" s="99"/>
      <c r="X12" s="108">
        <v>270</v>
      </c>
      <c r="Y12" s="103"/>
      <c r="Z12" s="103"/>
      <c r="AA12" s="103"/>
      <c r="AB12" s="106">
        <f t="shared" ref="AB12:AB75" si="1">ROUND(IF(X12&gt;750,60,-($B$12*X12^4)+($B$13*X12^3)-($B$14*X12^2)+($B$15*X12)+$B$16),2)</f>
        <v>219.02</v>
      </c>
      <c r="AC12" s="479">
        <f t="shared" ref="AC12" si="2">IF($B$38+$C$38=4,X$20,IF($B$38=2,X$13,IF($B$38+$C$38=3,X$13,X12)))</f>
        <v>280</v>
      </c>
      <c r="AD12" s="478">
        <f t="shared" ref="AD12" si="3">IF($B$38+$C$38=4,Y$20,IF($B$38=2,AA$13,IF($B$38+$C$38=3,Z$13,AB12)))</f>
        <v>273.52</v>
      </c>
    </row>
    <row r="13" spans="1:30">
      <c r="A13" s="92"/>
      <c r="B13" s="1167">
        <v>3.9901478999999998E-6</v>
      </c>
      <c r="C13" s="1167"/>
      <c r="D13" s="92"/>
      <c r="E13" s="92"/>
      <c r="F13" s="92"/>
      <c r="G13" s="1167">
        <v>9.7177804999999995E-7</v>
      </c>
      <c r="H13" s="1167"/>
      <c r="I13" s="92"/>
      <c r="J13" s="92"/>
      <c r="K13" s="92"/>
      <c r="L13" s="1167">
        <v>4.3658740999999996E-6</v>
      </c>
      <c r="M13" s="1167"/>
      <c r="N13" s="92"/>
      <c r="P13" s="178">
        <f t="shared" si="0"/>
        <v>380</v>
      </c>
      <c r="Q13" s="356"/>
      <c r="R13" s="357">
        <f>ROUND(IF(P13&gt;1120,115,-($G$4*P13^4)+($G$5*P13^3)-($G$6*P13^2)-($G$7*P13)+$G$8),2)</f>
        <v>404.01</v>
      </c>
      <c r="S13" s="357">
        <f>ROUND(IF(P13&gt;1350,80,-($G$4*P13^4)+($G$5*P13^3)-($G$6*P13^2)-($G$7*P13)+$G$8),2)</f>
        <v>404.01</v>
      </c>
      <c r="T13" s="357">
        <f>ROUND(IF(P13&gt;=1150,80,($B$4*P13^4)-($B$5*P13^3)+($B$6*P13^2)-($B$7*P13)+$B$8),2)</f>
        <v>318.27</v>
      </c>
      <c r="U13" s="479">
        <f>IF($B$38+$C$38=4,P$24,P13)</f>
        <v>380</v>
      </c>
      <c r="V13" s="478">
        <f>IF($B$38+$C$38=4,Q$24,IF($B$38=2,S13,IF($B$38+$C$38=3,R13,T13)))</f>
        <v>404.01</v>
      </c>
      <c r="W13" s="99"/>
      <c r="X13" s="108">
        <v>280</v>
      </c>
      <c r="Y13" s="103"/>
      <c r="Z13" s="106">
        <f>ROUND(IF(X13&gt;800,80,-($G$12*X13^4)+($G$13*X13^3)-($G$14*X13^2)-($G$15*X13)+$G$16),2)</f>
        <v>273.52</v>
      </c>
      <c r="AA13" s="106">
        <f>ROUND(IF(X13&gt;=950,60,-($G$12*X13^4)+($G$13*X13^3)-($G$14*X13^2)-($G$15*X13)+$G$16),2)</f>
        <v>273.52</v>
      </c>
      <c r="AB13" s="106">
        <f>ROUND(IF(X13&gt;750,60,-($B$12*X13^4)+($B$13*X13^3)-($B$14*X13^2)+($B$15*X13)+$B$16),2)</f>
        <v>215.03</v>
      </c>
      <c r="AC13" s="479">
        <f>IF($B$38+$C$38=4,X$20,X13)</f>
        <v>280</v>
      </c>
      <c r="AD13" s="478">
        <f>IF($B$38+$C$38=4,Y$20,IF($B$38=2,AA13,IF($B$38+$C$38=3,Z13,AB13)))</f>
        <v>273.52</v>
      </c>
    </row>
    <row r="14" spans="1:30">
      <c r="A14" s="92"/>
      <c r="B14" s="1167">
        <v>2.8754000000000002E-3</v>
      </c>
      <c r="C14" s="1167"/>
      <c r="D14" s="92"/>
      <c r="E14" s="92"/>
      <c r="F14" s="92"/>
      <c r="G14" s="1167">
        <v>4.7985102999999999E-4</v>
      </c>
      <c r="H14" s="1167"/>
      <c r="I14" s="92"/>
      <c r="J14" s="92"/>
      <c r="K14" s="92"/>
      <c r="L14" s="1167">
        <v>3.4391000000000001E-3</v>
      </c>
      <c r="M14" s="1167"/>
      <c r="N14" s="92"/>
      <c r="P14" s="178">
        <f t="shared" si="0"/>
        <v>390</v>
      </c>
      <c r="Q14" s="356"/>
      <c r="R14" s="357">
        <f t="shared" ref="R14:R77" si="4">ROUND(IF(P14&gt;1120,115,-($G$4*P14^4)+($G$5*P14^3)-($G$6*P14^2)-($G$7*P14)+$G$8),2)</f>
        <v>398.35</v>
      </c>
      <c r="S14" s="357">
        <f t="shared" ref="S14:S77" si="5">ROUND(IF(P14&gt;1350,80,-($G$4*P14^4)+($G$5*P14^3)-($G$6*P14^2)-($G$7*P14)+$G$8),2)</f>
        <v>398.35</v>
      </c>
      <c r="T14" s="357">
        <f t="shared" ref="T14:T77" si="6">ROUND(IF(P14&gt;=1150,80,($B$4*P14^4)-($B$5*P14^3)+($B$6*P14^2)-($B$7*P14)+$B$8),2)</f>
        <v>312.91000000000003</v>
      </c>
      <c r="U14" s="479">
        <f t="shared" ref="U14:U23" si="7">IF(B$38+C$38=4,P$24,P14)</f>
        <v>390</v>
      </c>
      <c r="V14" s="478">
        <f t="shared" ref="V14:V23" si="8">IF(B$38+C$38=4,Q$24,IF(B$38=2,S14,IF(B$38+C$38=3,R14,T14)))</f>
        <v>398.35</v>
      </c>
      <c r="W14" s="99"/>
      <c r="X14" s="108">
        <v>290</v>
      </c>
      <c r="Y14" s="103"/>
      <c r="Z14" s="106">
        <f t="shared" ref="Z14:Z77" si="9">ROUND(IF(X14&gt;800,80,-($G$12*X14^4)+($G$13*X14^3)-($G$14*X14^2)-($G$15*X14)+$G$16),2)</f>
        <v>268.17</v>
      </c>
      <c r="AA14" s="106">
        <f t="shared" ref="AA14:AA77" si="10">ROUND(IF(X14&gt;=950,60,-($G$12*X14^4)+($G$13*X14^3)-($G$14*X14^2)-($G$15*X14)+$G$16),2)</f>
        <v>268.17</v>
      </c>
      <c r="AB14" s="106">
        <f t="shared" si="1"/>
        <v>210.98</v>
      </c>
      <c r="AC14" s="479">
        <f t="shared" ref="AC14:AC19" si="11">IF($B$38+$C$38=4,X$20,X14)</f>
        <v>290</v>
      </c>
      <c r="AD14" s="478">
        <f t="shared" ref="AD14:AD19" si="12">IF($B$38+$C$38=4,Y$20,IF($B$38=2,AA14,IF($B$38+$C$38=3,Z14,AB14)))</f>
        <v>268.17</v>
      </c>
    </row>
    <row r="15" spans="1:30">
      <c r="A15" s="92"/>
      <c r="B15" s="1168">
        <v>0.4281606</v>
      </c>
      <c r="C15" s="1168"/>
      <c r="D15" s="92"/>
      <c r="E15" s="92"/>
      <c r="F15" s="92"/>
      <c r="G15" s="1168">
        <v>0.4614856</v>
      </c>
      <c r="H15" s="1168"/>
      <c r="I15" s="92"/>
      <c r="J15" s="92"/>
      <c r="K15" s="92"/>
      <c r="L15" s="1168">
        <v>0.46286559999999999</v>
      </c>
      <c r="M15" s="1168"/>
      <c r="N15" s="92"/>
      <c r="P15" s="178">
        <f t="shared" si="0"/>
        <v>400</v>
      </c>
      <c r="Q15" s="356"/>
      <c r="R15" s="357">
        <f t="shared" si="4"/>
        <v>392.73</v>
      </c>
      <c r="S15" s="357">
        <f t="shared" si="5"/>
        <v>392.73</v>
      </c>
      <c r="T15" s="357">
        <f t="shared" si="6"/>
        <v>307.64999999999998</v>
      </c>
      <c r="U15" s="479">
        <f t="shared" si="7"/>
        <v>400</v>
      </c>
      <c r="V15" s="478">
        <f t="shared" si="8"/>
        <v>392.73</v>
      </c>
      <c r="W15" s="99"/>
      <c r="X15" s="108">
        <v>300</v>
      </c>
      <c r="Y15" s="103"/>
      <c r="Z15" s="106">
        <f t="shared" si="9"/>
        <v>262.86</v>
      </c>
      <c r="AA15" s="106">
        <f t="shared" si="10"/>
        <v>262.86</v>
      </c>
      <c r="AB15" s="106">
        <f t="shared" si="1"/>
        <v>206.86</v>
      </c>
      <c r="AC15" s="479">
        <f t="shared" si="11"/>
        <v>300</v>
      </c>
      <c r="AD15" s="478">
        <f t="shared" si="12"/>
        <v>262.86</v>
      </c>
    </row>
    <row r="16" spans="1:30">
      <c r="A16" s="92"/>
      <c r="B16" s="1168">
        <v>244.08106129999999</v>
      </c>
      <c r="C16" s="1168"/>
      <c r="D16" s="92"/>
      <c r="E16" s="92"/>
      <c r="F16" s="92"/>
      <c r="G16" s="1168">
        <v>421.46523910000002</v>
      </c>
      <c r="H16" s="1168"/>
      <c r="I16" s="92"/>
      <c r="J16" s="92"/>
      <c r="K16" s="92"/>
      <c r="L16" s="1168">
        <v>419.81301300000001</v>
      </c>
      <c r="M16" s="1168"/>
      <c r="N16" s="92"/>
      <c r="P16" s="178">
        <f t="shared" si="0"/>
        <v>410</v>
      </c>
      <c r="Q16" s="356"/>
      <c r="R16" s="357">
        <f t="shared" si="4"/>
        <v>387.13</v>
      </c>
      <c r="S16" s="357">
        <f t="shared" si="5"/>
        <v>387.13</v>
      </c>
      <c r="T16" s="357">
        <f t="shared" si="6"/>
        <v>302.47000000000003</v>
      </c>
      <c r="U16" s="479">
        <f t="shared" si="7"/>
        <v>410</v>
      </c>
      <c r="V16" s="478">
        <f t="shared" si="8"/>
        <v>387.13</v>
      </c>
      <c r="W16" s="99"/>
      <c r="X16" s="108">
        <v>310</v>
      </c>
      <c r="Y16" s="103"/>
      <c r="Z16" s="106">
        <f t="shared" si="9"/>
        <v>257.58</v>
      </c>
      <c r="AA16" s="106">
        <f t="shared" si="10"/>
        <v>257.58</v>
      </c>
      <c r="AB16" s="106">
        <f t="shared" si="1"/>
        <v>202.69</v>
      </c>
      <c r="AC16" s="479">
        <f t="shared" si="11"/>
        <v>310</v>
      </c>
      <c r="AD16" s="478">
        <f t="shared" si="12"/>
        <v>257.58</v>
      </c>
    </row>
    <row r="17" spans="1:30">
      <c r="P17" s="178">
        <f t="shared" si="0"/>
        <v>420</v>
      </c>
      <c r="Q17" s="356"/>
      <c r="R17" s="357">
        <f t="shared" si="4"/>
        <v>381.57</v>
      </c>
      <c r="S17" s="357">
        <f t="shared" si="5"/>
        <v>381.57</v>
      </c>
      <c r="T17" s="357">
        <f t="shared" si="6"/>
        <v>297.38</v>
      </c>
      <c r="U17" s="479">
        <f t="shared" si="7"/>
        <v>420</v>
      </c>
      <c r="V17" s="478">
        <f t="shared" si="8"/>
        <v>381.57</v>
      </c>
      <c r="W17" s="99"/>
      <c r="X17" s="108">
        <v>320</v>
      </c>
      <c r="Y17" s="103"/>
      <c r="Z17" s="106">
        <f t="shared" si="9"/>
        <v>252.34</v>
      </c>
      <c r="AA17" s="106">
        <f t="shared" si="10"/>
        <v>252.34</v>
      </c>
      <c r="AB17" s="106">
        <f t="shared" si="1"/>
        <v>198.48</v>
      </c>
      <c r="AC17" s="479">
        <f t="shared" si="11"/>
        <v>320</v>
      </c>
      <c r="AD17" s="478">
        <f t="shared" si="12"/>
        <v>252.34</v>
      </c>
    </row>
    <row r="18" spans="1:30">
      <c r="A18" s="83"/>
      <c r="B18" s="83"/>
      <c r="C18" s="83"/>
      <c r="D18" s="329"/>
      <c r="E18" s="329"/>
      <c r="F18" s="329"/>
      <c r="G18" s="329"/>
      <c r="H18" s="329"/>
      <c r="I18" s="329"/>
      <c r="J18" s="329"/>
      <c r="K18" s="329"/>
      <c r="L18" s="330"/>
      <c r="M18" s="330"/>
      <c r="N18" s="83"/>
      <c r="P18" s="178">
        <f t="shared" si="0"/>
        <v>430</v>
      </c>
      <c r="Q18" s="356"/>
      <c r="R18" s="357">
        <f t="shared" si="4"/>
        <v>376.04</v>
      </c>
      <c r="S18" s="357">
        <f t="shared" si="5"/>
        <v>376.04</v>
      </c>
      <c r="T18" s="357">
        <f t="shared" si="6"/>
        <v>292.38</v>
      </c>
      <c r="U18" s="479">
        <f t="shared" si="7"/>
        <v>430</v>
      </c>
      <c r="V18" s="478">
        <f t="shared" si="8"/>
        <v>376.04</v>
      </c>
      <c r="W18" s="99"/>
      <c r="X18" s="108">
        <v>330</v>
      </c>
      <c r="Y18" s="103"/>
      <c r="Z18" s="106">
        <f t="shared" si="9"/>
        <v>247.14</v>
      </c>
      <c r="AA18" s="106">
        <f t="shared" si="10"/>
        <v>247.14</v>
      </c>
      <c r="AB18" s="106">
        <f t="shared" si="1"/>
        <v>194.24</v>
      </c>
      <c r="AC18" s="479">
        <f t="shared" si="11"/>
        <v>330</v>
      </c>
      <c r="AD18" s="478">
        <f t="shared" si="12"/>
        <v>247.14</v>
      </c>
    </row>
    <row r="19" spans="1:30">
      <c r="A19" s="83"/>
      <c r="B19" s="1175" t="s">
        <v>213</v>
      </c>
      <c r="C19" s="1175"/>
      <c r="D19" s="1175"/>
      <c r="E19" s="331"/>
      <c r="F19" s="331"/>
      <c r="G19" s="1176" t="s">
        <v>214</v>
      </c>
      <c r="H19" s="1176"/>
      <c r="I19" s="1176"/>
      <c r="J19" s="331"/>
      <c r="K19" s="331"/>
      <c r="L19" s="332"/>
      <c r="M19" s="333"/>
      <c r="N19" s="83"/>
      <c r="P19" s="178">
        <f t="shared" si="0"/>
        <v>440</v>
      </c>
      <c r="Q19" s="356"/>
      <c r="R19" s="357">
        <f t="shared" si="4"/>
        <v>370.54</v>
      </c>
      <c r="S19" s="357">
        <f t="shared" si="5"/>
        <v>370.54</v>
      </c>
      <c r="T19" s="357">
        <f t="shared" si="6"/>
        <v>287.45</v>
      </c>
      <c r="U19" s="479">
        <f t="shared" si="7"/>
        <v>440</v>
      </c>
      <c r="V19" s="478">
        <f t="shared" si="8"/>
        <v>370.54</v>
      </c>
      <c r="W19" s="99"/>
      <c r="X19" s="108">
        <v>340</v>
      </c>
      <c r="Y19" s="103"/>
      <c r="Z19" s="106">
        <f t="shared" si="9"/>
        <v>241.98</v>
      </c>
      <c r="AA19" s="106">
        <f t="shared" si="10"/>
        <v>241.98</v>
      </c>
      <c r="AB19" s="106">
        <f t="shared" si="1"/>
        <v>189.97</v>
      </c>
      <c r="AC19" s="479">
        <f t="shared" si="11"/>
        <v>340</v>
      </c>
      <c r="AD19" s="478">
        <f t="shared" si="12"/>
        <v>241.98</v>
      </c>
    </row>
    <row r="20" spans="1:30">
      <c r="A20" s="334"/>
      <c r="B20" s="320">
        <f>IF('Warrant 2'!AQ$13=0,'Warrant 2'!V$11,"")</f>
        <v>0</v>
      </c>
      <c r="C20" s="321">
        <f>IF('Warrant 2'!AQ$13=0,IF('Warrant 2'!V$14&gt;1400,1400,'Warrant 2'!V$14),"")</f>
        <v>0</v>
      </c>
      <c r="D20" s="321">
        <f>IF('Warrant 2'!AQ$13=0,IF('Warrant 2'!V$16&gt;500,500,'Warrant 2'!V$16),"")</f>
        <v>0</v>
      </c>
      <c r="E20" s="331"/>
      <c r="F20" s="331"/>
      <c r="G20" s="320" t="str">
        <f>IF('Warrant 2'!AQ$13=1,'Warrant 2'!V$11,"")</f>
        <v/>
      </c>
      <c r="H20" s="321" t="str">
        <f>IF('Warrant 2'!AQ$13=1,IF('Warrant 2'!V$14&gt;1000,1000,'Warrant 2'!V$14),"")</f>
        <v/>
      </c>
      <c r="I20" s="321" t="str">
        <f>IF('Warrant 2'!AQ$13=1,IF('Warrant 2'!V$16&gt;400,400,'Warrant 2'!V$16),"")</f>
        <v/>
      </c>
      <c r="J20" s="331"/>
      <c r="K20" s="331"/>
      <c r="L20" s="332"/>
      <c r="M20" s="335"/>
      <c r="N20" s="83"/>
      <c r="P20" s="178">
        <f t="shared" si="0"/>
        <v>450</v>
      </c>
      <c r="Q20" s="356"/>
      <c r="R20" s="357">
        <f t="shared" si="4"/>
        <v>365.07</v>
      </c>
      <c r="S20" s="357">
        <f t="shared" si="5"/>
        <v>365.07</v>
      </c>
      <c r="T20" s="357">
        <f t="shared" si="6"/>
        <v>282.61</v>
      </c>
      <c r="U20" s="479">
        <f t="shared" si="7"/>
        <v>450</v>
      </c>
      <c r="V20" s="478">
        <f t="shared" si="8"/>
        <v>365.07</v>
      </c>
      <c r="W20" s="99"/>
      <c r="X20" s="108">
        <v>350</v>
      </c>
      <c r="Y20" s="106">
        <f>ROUND(IF(X20&gt;=900,80,-($L$12*X20^4)+($L$13*X20^3)-($L$14*X20^2)+($L$15*X20)+$L$16),2)</f>
        <v>321.31</v>
      </c>
      <c r="Z20" s="106">
        <f t="shared" si="9"/>
        <v>236.87</v>
      </c>
      <c r="AA20" s="106">
        <f t="shared" si="10"/>
        <v>236.87</v>
      </c>
      <c r="AB20" s="106">
        <f t="shared" si="1"/>
        <v>185.7</v>
      </c>
      <c r="AC20" s="479">
        <f>X20</f>
        <v>350</v>
      </c>
      <c r="AD20" s="478">
        <f>IF($B$38+$C$38=4,Y20,IF($B$38=2,AA20,IF($B$38+$C$38=3,Z20,AB20)))</f>
        <v>236.87</v>
      </c>
    </row>
    <row r="21" spans="1:30">
      <c r="A21" s="336"/>
      <c r="B21" s="320">
        <f>IF('Warrant 2'!AQ$13=0,'Warrant 2'!X$11,"")</f>
        <v>0</v>
      </c>
      <c r="C21" s="321">
        <f>IF('Warrant 2'!AQ$13=0,IF('Warrant 2'!X$14&gt;1400,1400,'Warrant 2'!X$14),"")</f>
        <v>0</v>
      </c>
      <c r="D21" s="321">
        <f>IF('Warrant 2'!AQ$13=0,IF('Warrant 2'!X$16&gt;500,500,'Warrant 2'!X$16),"")</f>
        <v>0</v>
      </c>
      <c r="E21" s="338"/>
      <c r="F21" s="338"/>
      <c r="G21" s="320" t="str">
        <f>IF('Warrant 2'!AQ$13=1,'Warrant 2'!X$11,"")</f>
        <v/>
      </c>
      <c r="H21" s="321" t="str">
        <f>IF('Warrant 2'!AQ$13=1,IF('Warrant 2'!X$14&gt;1000,1000,'Warrant 2'!X$14),"")</f>
        <v/>
      </c>
      <c r="I21" s="321" t="str">
        <f>IF('Warrant 2'!AQ$13=1,IF('Warrant 2'!X$16&gt;400,400,'Warrant 2'!X$16),"")</f>
        <v/>
      </c>
      <c r="J21" s="338"/>
      <c r="K21" s="338"/>
      <c r="L21" s="339"/>
      <c r="M21" s="340"/>
      <c r="N21" s="83"/>
      <c r="P21" s="178">
        <f t="shared" si="0"/>
        <v>460</v>
      </c>
      <c r="Q21" s="356"/>
      <c r="R21" s="357">
        <f t="shared" si="4"/>
        <v>359.64</v>
      </c>
      <c r="S21" s="357">
        <f t="shared" si="5"/>
        <v>359.64</v>
      </c>
      <c r="T21" s="357">
        <f t="shared" si="6"/>
        <v>277.83999999999997</v>
      </c>
      <c r="U21" s="479">
        <f t="shared" si="7"/>
        <v>460</v>
      </c>
      <c r="V21" s="478">
        <f t="shared" si="8"/>
        <v>359.64</v>
      </c>
      <c r="W21" s="99"/>
      <c r="X21" s="108">
        <v>360</v>
      </c>
      <c r="Y21" s="106">
        <f t="shared" ref="Y21:Y84" si="13">ROUND(IF(X21&gt;=900,80,-($L$12*X21^4)+($L$13*X21^3)-($L$14*X21^2)+($L$15*X21)+$L$16),2)</f>
        <v>314.88</v>
      </c>
      <c r="Z21" s="106">
        <f t="shared" si="9"/>
        <v>231.82</v>
      </c>
      <c r="AA21" s="106">
        <f t="shared" si="10"/>
        <v>231.82</v>
      </c>
      <c r="AB21" s="106">
        <f t="shared" si="1"/>
        <v>181.42</v>
      </c>
      <c r="AC21" s="479">
        <f t="shared" ref="AC21:AC84" si="14">X21</f>
        <v>360</v>
      </c>
      <c r="AD21" s="478">
        <f t="shared" ref="AD21:AD84" si="15">IF($B$38+$C$38=4,Y21,IF($B$38=2,AA21,IF($B$38+$C$38=3,Z21,AB21)))</f>
        <v>231.82</v>
      </c>
    </row>
    <row r="22" spans="1:30">
      <c r="A22" s="336"/>
      <c r="B22" s="320">
        <f>IF('Warrant 2'!AQ$13=0,'Warrant 2'!Z$11,"")</f>
        <v>0</v>
      </c>
      <c r="C22" s="321">
        <f>IF('Warrant 2'!AQ$13=0,IF('Warrant 2'!Z$14&gt;1400,1400,'Warrant 2'!Z$14),"")</f>
        <v>0</v>
      </c>
      <c r="D22" s="321">
        <f>IF('Warrant 2'!AQ$13=0,IF('Warrant 2'!Z$16&gt;500,500,'Warrant 2'!Z$16),"")</f>
        <v>0</v>
      </c>
      <c r="E22" s="338"/>
      <c r="F22" s="338"/>
      <c r="G22" s="320" t="str">
        <f>IF('Warrant 2'!AQ$13=1,'Warrant 2'!Z$11,"")</f>
        <v/>
      </c>
      <c r="H22" s="321" t="str">
        <f>IF('Warrant 2'!AQ$13=1,IF('Warrant 2'!Z$14&gt;1000,1000,'Warrant 2'!Z$14),"")</f>
        <v/>
      </c>
      <c r="I22" s="321" t="str">
        <f>IF('Warrant 2'!AQ$13=1,IF('Warrant 2'!Z$16&gt;400,400,'Warrant 2'!Z$16),"")</f>
        <v/>
      </c>
      <c r="J22" s="338"/>
      <c r="K22" s="338"/>
      <c r="L22" s="339"/>
      <c r="M22" s="340"/>
      <c r="N22" s="83"/>
      <c r="P22" s="178">
        <f t="shared" si="0"/>
        <v>470</v>
      </c>
      <c r="Q22" s="356"/>
      <c r="R22" s="357">
        <f t="shared" si="4"/>
        <v>354.25</v>
      </c>
      <c r="S22" s="357">
        <f t="shared" si="5"/>
        <v>354.25</v>
      </c>
      <c r="T22" s="357">
        <f t="shared" si="6"/>
        <v>273.14999999999998</v>
      </c>
      <c r="U22" s="479">
        <f t="shared" si="7"/>
        <v>470</v>
      </c>
      <c r="V22" s="478">
        <f t="shared" si="8"/>
        <v>354.25</v>
      </c>
      <c r="W22" s="99"/>
      <c r="X22" s="108">
        <v>370</v>
      </c>
      <c r="Y22" s="106">
        <f t="shared" si="13"/>
        <v>308.43</v>
      </c>
      <c r="Z22" s="106">
        <f t="shared" si="9"/>
        <v>226.81</v>
      </c>
      <c r="AA22" s="106">
        <f t="shared" si="10"/>
        <v>226.81</v>
      </c>
      <c r="AB22" s="106">
        <f t="shared" si="1"/>
        <v>177.15</v>
      </c>
      <c r="AC22" s="479">
        <f t="shared" si="14"/>
        <v>370</v>
      </c>
      <c r="AD22" s="478">
        <f t="shared" si="15"/>
        <v>226.81</v>
      </c>
    </row>
    <row r="23" spans="1:30">
      <c r="A23" s="336"/>
      <c r="B23" s="320">
        <f>IF('Warrant 2'!AQ$13=0,'Warrant 2'!AB$11,"")</f>
        <v>0</v>
      </c>
      <c r="C23" s="321">
        <f>IF('Warrant 2'!AQ$13=0,IF('Warrant 2'!AB$14&gt;1400,1400,'Warrant 2'!AB$14),"")</f>
        <v>0</v>
      </c>
      <c r="D23" s="321">
        <f>IF('Warrant 2'!AQ$13=0,IF('Warrant 2'!AB$16&gt;500,500,'Warrant 2'!AB$16),"")</f>
        <v>0</v>
      </c>
      <c r="E23" s="338"/>
      <c r="F23" s="338"/>
      <c r="G23" s="320" t="str">
        <f>IF('Warrant 2'!AQ$13=1,'Warrant 2'!AB$11,"")</f>
        <v/>
      </c>
      <c r="H23" s="321" t="str">
        <f>IF('Warrant 2'!AQ$13=1,IF('Warrant 2'!AB$14&gt;1000,1000,'Warrant 2'!AB$14),"")</f>
        <v/>
      </c>
      <c r="I23" s="321" t="str">
        <f>IF('Warrant 2'!AQ$13=1,IF('Warrant 2'!AB$16&gt;400,400,'Warrant 2'!AB$16),"")</f>
        <v/>
      </c>
      <c r="J23" s="338"/>
      <c r="K23" s="338"/>
      <c r="L23" s="339"/>
      <c r="M23" s="340"/>
      <c r="N23" s="83"/>
      <c r="P23" s="178">
        <f t="shared" si="0"/>
        <v>480</v>
      </c>
      <c r="Q23" s="356"/>
      <c r="R23" s="357">
        <f t="shared" si="4"/>
        <v>348.9</v>
      </c>
      <c r="S23" s="357">
        <f t="shared" si="5"/>
        <v>348.9</v>
      </c>
      <c r="T23" s="357">
        <f t="shared" si="6"/>
        <v>268.54000000000002</v>
      </c>
      <c r="U23" s="479">
        <f t="shared" si="7"/>
        <v>480</v>
      </c>
      <c r="V23" s="478">
        <f t="shared" si="8"/>
        <v>348.9</v>
      </c>
      <c r="W23" s="99"/>
      <c r="X23" s="108">
        <v>380</v>
      </c>
      <c r="Y23" s="106">
        <f t="shared" si="13"/>
        <v>301.98</v>
      </c>
      <c r="Z23" s="106">
        <f t="shared" si="9"/>
        <v>221.86</v>
      </c>
      <c r="AA23" s="106">
        <f t="shared" si="10"/>
        <v>221.86</v>
      </c>
      <c r="AB23" s="106">
        <f t="shared" si="1"/>
        <v>172.9</v>
      </c>
      <c r="AC23" s="479">
        <f t="shared" si="14"/>
        <v>380</v>
      </c>
      <c r="AD23" s="478">
        <f t="shared" si="15"/>
        <v>221.86</v>
      </c>
    </row>
    <row r="24" spans="1:30">
      <c r="A24" s="336"/>
      <c r="E24" s="338"/>
      <c r="F24" s="338"/>
      <c r="J24" s="338"/>
      <c r="K24" s="338"/>
      <c r="L24" s="339"/>
      <c r="M24" s="340"/>
      <c r="N24" s="83"/>
      <c r="P24" s="178">
        <f t="shared" si="0"/>
        <v>490</v>
      </c>
      <c r="Q24" s="357">
        <f>ROUND(IF(P24&gt;=1300,115,-($L$4*P24^4)+($L$5*P24^3)-($L$6*P24^2)+($L$7*P24)+$L$8),2)</f>
        <v>459.54</v>
      </c>
      <c r="R24" s="357">
        <f t="shared" si="4"/>
        <v>343.59</v>
      </c>
      <c r="S24" s="357">
        <f t="shared" si="5"/>
        <v>343.59</v>
      </c>
      <c r="T24" s="357">
        <f t="shared" si="6"/>
        <v>263.99</v>
      </c>
      <c r="U24" s="479">
        <f>P24</f>
        <v>490</v>
      </c>
      <c r="V24" s="478">
        <f>IF(B$38+C$38=4,Q24,IF(B$38=2,S24,IF(B$38+C$38=3,R24,T24)))</f>
        <v>343.59</v>
      </c>
      <c r="W24" s="99"/>
      <c r="X24" s="108">
        <v>390</v>
      </c>
      <c r="Y24" s="106">
        <f t="shared" si="13"/>
        <v>295.52</v>
      </c>
      <c r="Z24" s="106">
        <f t="shared" si="9"/>
        <v>216.97</v>
      </c>
      <c r="AA24" s="106">
        <f t="shared" si="10"/>
        <v>216.97</v>
      </c>
      <c r="AB24" s="106">
        <f t="shared" si="1"/>
        <v>168.66</v>
      </c>
      <c r="AC24" s="479">
        <f t="shared" si="14"/>
        <v>390</v>
      </c>
      <c r="AD24" s="478">
        <f t="shared" si="15"/>
        <v>216.97</v>
      </c>
    </row>
    <row r="25" spans="1:30">
      <c r="A25" s="336"/>
      <c r="E25" s="338"/>
      <c r="F25" s="338"/>
      <c r="J25" s="338"/>
      <c r="K25" s="338"/>
      <c r="L25" s="339"/>
      <c r="M25" s="340"/>
      <c r="N25" s="83"/>
      <c r="P25" s="108">
        <f t="shared" ref="P25:P80" si="16">P24+10</f>
        <v>500</v>
      </c>
      <c r="Q25" s="357">
        <f t="shared" ref="Q25:Q88" si="17">ROUND(IF(P25&gt;=1300,115,-($L$4*P25^4)+($L$5*P25^3)-($L$6*P25^2)+($L$7*P25)+$L$8),2)</f>
        <v>453.29</v>
      </c>
      <c r="R25" s="357">
        <f t="shared" si="4"/>
        <v>338.32</v>
      </c>
      <c r="S25" s="357">
        <f t="shared" si="5"/>
        <v>338.32</v>
      </c>
      <c r="T25" s="357">
        <f t="shared" si="6"/>
        <v>259.51</v>
      </c>
      <c r="U25" s="479">
        <f t="shared" ref="U25:U88" si="18">P25</f>
        <v>500</v>
      </c>
      <c r="V25" s="478">
        <f t="shared" ref="V25:V88" si="19">IF(B$38+C$38=4,Q25,IF(B$38=2,S25,IF(B$38+C$38=3,R25,T25)))</f>
        <v>338.32</v>
      </c>
      <c r="W25" s="99"/>
      <c r="X25" s="108">
        <v>400</v>
      </c>
      <c r="Y25" s="106">
        <f t="shared" si="13"/>
        <v>289.08</v>
      </c>
      <c r="Z25" s="106">
        <f t="shared" si="9"/>
        <v>212.13</v>
      </c>
      <c r="AA25" s="106">
        <f t="shared" si="10"/>
        <v>212.13</v>
      </c>
      <c r="AB25" s="106">
        <f t="shared" si="1"/>
        <v>164.46</v>
      </c>
      <c r="AC25" s="479">
        <f t="shared" si="14"/>
        <v>400</v>
      </c>
      <c r="AD25" s="478">
        <f t="shared" si="15"/>
        <v>212.13</v>
      </c>
    </row>
    <row r="26" spans="1:30">
      <c r="A26" s="336"/>
      <c r="E26" s="338"/>
      <c r="F26" s="338"/>
      <c r="J26" s="338"/>
      <c r="K26" s="338"/>
      <c r="L26" s="339"/>
      <c r="M26" s="340"/>
      <c r="N26" s="83"/>
      <c r="P26" s="108">
        <f t="shared" si="16"/>
        <v>510</v>
      </c>
      <c r="Q26" s="357">
        <f t="shared" si="17"/>
        <v>447.03</v>
      </c>
      <c r="R26" s="357">
        <f t="shared" si="4"/>
        <v>333.1</v>
      </c>
      <c r="S26" s="357">
        <f t="shared" si="5"/>
        <v>333.1</v>
      </c>
      <c r="T26" s="357">
        <f t="shared" si="6"/>
        <v>255.1</v>
      </c>
      <c r="U26" s="479">
        <f t="shared" si="18"/>
        <v>510</v>
      </c>
      <c r="V26" s="478">
        <f t="shared" si="19"/>
        <v>333.1</v>
      </c>
      <c r="W26" s="99"/>
      <c r="X26" s="108">
        <v>410</v>
      </c>
      <c r="Y26" s="106">
        <f t="shared" si="13"/>
        <v>282.66000000000003</v>
      </c>
      <c r="Z26" s="106">
        <f t="shared" si="9"/>
        <v>207.36</v>
      </c>
      <c r="AA26" s="106">
        <f t="shared" si="10"/>
        <v>207.36</v>
      </c>
      <c r="AB26" s="106">
        <f t="shared" si="1"/>
        <v>160.29</v>
      </c>
      <c r="AC26" s="479">
        <f t="shared" si="14"/>
        <v>410</v>
      </c>
      <c r="AD26" s="478">
        <f t="shared" si="15"/>
        <v>207.36</v>
      </c>
    </row>
    <row r="27" spans="1:30">
      <c r="A27" s="336"/>
      <c r="E27" s="338"/>
      <c r="F27" s="338"/>
      <c r="J27" s="338"/>
      <c r="K27" s="338"/>
      <c r="L27" s="339"/>
      <c r="M27" s="340"/>
      <c r="N27" s="83"/>
      <c r="P27" s="108">
        <f t="shared" si="16"/>
        <v>520</v>
      </c>
      <c r="Q27" s="357">
        <f t="shared" si="17"/>
        <v>440.76</v>
      </c>
      <c r="R27" s="357">
        <f t="shared" si="4"/>
        <v>327.91</v>
      </c>
      <c r="S27" s="357">
        <f t="shared" si="5"/>
        <v>327.91</v>
      </c>
      <c r="T27" s="357">
        <f t="shared" si="6"/>
        <v>250.76</v>
      </c>
      <c r="U27" s="479">
        <f t="shared" si="18"/>
        <v>520</v>
      </c>
      <c r="V27" s="478">
        <f t="shared" si="19"/>
        <v>327.91</v>
      </c>
      <c r="W27" s="99"/>
      <c r="X27" s="108">
        <v>420</v>
      </c>
      <c r="Y27" s="106">
        <f t="shared" si="13"/>
        <v>276.27</v>
      </c>
      <c r="Z27" s="106">
        <f t="shared" si="9"/>
        <v>202.65</v>
      </c>
      <c r="AA27" s="106">
        <f t="shared" si="10"/>
        <v>202.65</v>
      </c>
      <c r="AB27" s="106">
        <f t="shared" si="1"/>
        <v>156.16</v>
      </c>
      <c r="AC27" s="479">
        <f t="shared" si="14"/>
        <v>420</v>
      </c>
      <c r="AD27" s="478">
        <f t="shared" si="15"/>
        <v>202.65</v>
      </c>
    </row>
    <row r="28" spans="1:30">
      <c r="A28" s="336"/>
      <c r="B28" s="362">
        <v>300</v>
      </c>
      <c r="C28" s="362">
        <v>115</v>
      </c>
      <c r="D28" s="362">
        <v>80</v>
      </c>
      <c r="E28" s="338"/>
      <c r="F28" s="338"/>
      <c r="G28" s="362">
        <v>200</v>
      </c>
      <c r="H28" s="362">
        <v>80</v>
      </c>
      <c r="I28" s="362">
        <v>60</v>
      </c>
      <c r="J28" s="338"/>
      <c r="K28" s="338"/>
      <c r="L28" s="339"/>
      <c r="M28" s="340"/>
      <c r="N28" s="83"/>
      <c r="P28" s="108">
        <f t="shared" si="16"/>
        <v>530</v>
      </c>
      <c r="Q28" s="357">
        <f t="shared" si="17"/>
        <v>434.49</v>
      </c>
      <c r="R28" s="357">
        <f t="shared" si="4"/>
        <v>322.77999999999997</v>
      </c>
      <c r="S28" s="357">
        <f t="shared" si="5"/>
        <v>322.77999999999997</v>
      </c>
      <c r="T28" s="357">
        <f t="shared" si="6"/>
        <v>246.48</v>
      </c>
      <c r="U28" s="479">
        <f t="shared" si="18"/>
        <v>530</v>
      </c>
      <c r="V28" s="478">
        <f t="shared" si="19"/>
        <v>322.77999999999997</v>
      </c>
      <c r="W28" s="99"/>
      <c r="X28" s="108">
        <v>430</v>
      </c>
      <c r="Y28" s="106">
        <f t="shared" si="13"/>
        <v>269.93</v>
      </c>
      <c r="Z28" s="106">
        <f t="shared" si="9"/>
        <v>198</v>
      </c>
      <c r="AA28" s="106">
        <f t="shared" si="10"/>
        <v>198</v>
      </c>
      <c r="AB28" s="106">
        <f t="shared" si="1"/>
        <v>152.08000000000001</v>
      </c>
      <c r="AC28" s="479">
        <f t="shared" si="14"/>
        <v>430</v>
      </c>
      <c r="AD28" s="478">
        <f t="shared" si="15"/>
        <v>198</v>
      </c>
    </row>
    <row r="29" spans="1:30">
      <c r="A29" s="336"/>
      <c r="B29" s="362">
        <v>1400</v>
      </c>
      <c r="C29" s="362">
        <v>115</v>
      </c>
      <c r="D29" s="362">
        <v>80</v>
      </c>
      <c r="E29" s="338"/>
      <c r="F29" s="338"/>
      <c r="G29" s="362">
        <v>1000</v>
      </c>
      <c r="H29" s="362">
        <v>80</v>
      </c>
      <c r="I29" s="362">
        <v>60</v>
      </c>
      <c r="J29" s="338"/>
      <c r="K29" s="338"/>
      <c r="L29" s="339"/>
      <c r="M29" s="340"/>
      <c r="N29" s="83"/>
      <c r="P29" s="108">
        <f t="shared" si="16"/>
        <v>540</v>
      </c>
      <c r="Q29" s="357">
        <f t="shared" si="17"/>
        <v>428.23</v>
      </c>
      <c r="R29" s="357">
        <f t="shared" si="4"/>
        <v>317.68</v>
      </c>
      <c r="S29" s="357">
        <f t="shared" si="5"/>
        <v>317.68</v>
      </c>
      <c r="T29" s="357">
        <f t="shared" si="6"/>
        <v>242.27</v>
      </c>
      <c r="U29" s="479">
        <f t="shared" si="18"/>
        <v>540</v>
      </c>
      <c r="V29" s="478">
        <f t="shared" si="19"/>
        <v>317.68</v>
      </c>
      <c r="W29" s="99"/>
      <c r="X29" s="108">
        <v>440</v>
      </c>
      <c r="Y29" s="106">
        <f t="shared" si="13"/>
        <v>263.63</v>
      </c>
      <c r="Z29" s="106">
        <f t="shared" si="9"/>
        <v>193.42</v>
      </c>
      <c r="AA29" s="106">
        <f t="shared" si="10"/>
        <v>193.42</v>
      </c>
      <c r="AB29" s="106">
        <f t="shared" si="1"/>
        <v>148.06</v>
      </c>
      <c r="AC29" s="479">
        <f t="shared" si="14"/>
        <v>440</v>
      </c>
      <c r="AD29" s="478">
        <f t="shared" si="15"/>
        <v>193.42</v>
      </c>
    </row>
    <row r="30" spans="1:30">
      <c r="A30" s="336"/>
      <c r="B30" s="337"/>
      <c r="C30" s="337"/>
      <c r="D30" s="1177" t="s">
        <v>213</v>
      </c>
      <c r="E30" s="1177"/>
      <c r="F30" s="1177"/>
      <c r="G30" s="1177"/>
      <c r="H30" s="1178" t="s">
        <v>214</v>
      </c>
      <c r="I30" s="1178"/>
      <c r="J30" s="1178"/>
      <c r="K30" s="1178"/>
      <c r="L30" s="339"/>
      <c r="M30" s="340"/>
      <c r="N30" s="83"/>
      <c r="P30" s="108">
        <f t="shared" si="16"/>
        <v>550</v>
      </c>
      <c r="Q30" s="357">
        <f t="shared" si="17"/>
        <v>421.97</v>
      </c>
      <c r="R30" s="357">
        <f t="shared" si="4"/>
        <v>312.64</v>
      </c>
      <c r="S30" s="357">
        <f t="shared" si="5"/>
        <v>312.64</v>
      </c>
      <c r="T30" s="357">
        <f t="shared" si="6"/>
        <v>238.11</v>
      </c>
      <c r="U30" s="479">
        <f t="shared" si="18"/>
        <v>550</v>
      </c>
      <c r="V30" s="478">
        <f t="shared" si="19"/>
        <v>312.64</v>
      </c>
      <c r="W30" s="99"/>
      <c r="X30" s="108">
        <v>450</v>
      </c>
      <c r="Y30" s="106">
        <f t="shared" si="13"/>
        <v>257.38</v>
      </c>
      <c r="Z30" s="106">
        <f t="shared" si="9"/>
        <v>188.91</v>
      </c>
      <c r="AA30" s="106">
        <f t="shared" si="10"/>
        <v>188.91</v>
      </c>
      <c r="AB30" s="106">
        <f t="shared" si="1"/>
        <v>144.09</v>
      </c>
      <c r="AC30" s="479">
        <f t="shared" si="14"/>
        <v>450</v>
      </c>
      <c r="AD30" s="478">
        <f t="shared" si="15"/>
        <v>188.91</v>
      </c>
    </row>
    <row r="31" spans="1:30">
      <c r="A31" s="336"/>
      <c r="D31" s="310">
        <v>1</v>
      </c>
      <c r="E31" s="310">
        <v>2</v>
      </c>
      <c r="F31" s="310">
        <v>3</v>
      </c>
      <c r="G31" s="310">
        <v>4</v>
      </c>
      <c r="H31" s="250">
        <v>5</v>
      </c>
      <c r="I31" s="250">
        <v>6</v>
      </c>
      <c r="J31" s="250">
        <v>7</v>
      </c>
      <c r="K31" s="250">
        <v>8</v>
      </c>
      <c r="L31" s="339"/>
      <c r="M31" s="340"/>
      <c r="N31" s="83"/>
      <c r="P31" s="108">
        <f t="shared" si="16"/>
        <v>560</v>
      </c>
      <c r="Q31" s="357">
        <f t="shared" si="17"/>
        <v>415.73</v>
      </c>
      <c r="R31" s="357">
        <f t="shared" si="4"/>
        <v>307.64</v>
      </c>
      <c r="S31" s="357">
        <f t="shared" si="5"/>
        <v>307.64</v>
      </c>
      <c r="T31" s="357">
        <f t="shared" si="6"/>
        <v>234.01</v>
      </c>
      <c r="U31" s="479">
        <f t="shared" si="18"/>
        <v>560</v>
      </c>
      <c r="V31" s="478">
        <f t="shared" si="19"/>
        <v>307.64</v>
      </c>
      <c r="W31" s="99"/>
      <c r="X31" s="108">
        <v>460</v>
      </c>
      <c r="Y31" s="106">
        <f t="shared" si="13"/>
        <v>251.2</v>
      </c>
      <c r="Z31" s="106">
        <f t="shared" si="9"/>
        <v>184.47</v>
      </c>
      <c r="AA31" s="106">
        <f t="shared" si="10"/>
        <v>184.47</v>
      </c>
      <c r="AB31" s="106">
        <f t="shared" si="1"/>
        <v>140.19</v>
      </c>
      <c r="AC31" s="479">
        <f t="shared" si="14"/>
        <v>460</v>
      </c>
      <c r="AD31" s="478">
        <f t="shared" si="15"/>
        <v>184.47</v>
      </c>
    </row>
    <row r="32" spans="1:30">
      <c r="A32" s="336"/>
      <c r="B32" s="337"/>
      <c r="C32" s="337"/>
      <c r="D32" s="373" t="s">
        <v>218</v>
      </c>
      <c r="E32" s="373" t="s">
        <v>216</v>
      </c>
      <c r="F32" s="373" t="s">
        <v>217</v>
      </c>
      <c r="G32" s="373" t="s">
        <v>215</v>
      </c>
      <c r="H32" s="373" t="s">
        <v>218</v>
      </c>
      <c r="I32" s="373" t="s">
        <v>216</v>
      </c>
      <c r="J32" s="373" t="s">
        <v>217</v>
      </c>
      <c r="K32" s="373" t="s">
        <v>215</v>
      </c>
      <c r="L32" s="375" t="s">
        <v>34</v>
      </c>
      <c r="M32" s="340"/>
      <c r="N32" s="83"/>
      <c r="P32" s="108">
        <f t="shared" si="16"/>
        <v>570</v>
      </c>
      <c r="Q32" s="357">
        <f t="shared" si="17"/>
        <v>409.5</v>
      </c>
      <c r="R32" s="357">
        <f t="shared" si="4"/>
        <v>302.69</v>
      </c>
      <c r="S32" s="357">
        <f t="shared" si="5"/>
        <v>302.69</v>
      </c>
      <c r="T32" s="357">
        <f t="shared" si="6"/>
        <v>229.98</v>
      </c>
      <c r="U32" s="479">
        <f t="shared" si="18"/>
        <v>570</v>
      </c>
      <c r="V32" s="478">
        <f t="shared" si="19"/>
        <v>302.69</v>
      </c>
      <c r="W32" s="99"/>
      <c r="X32" s="108">
        <v>470</v>
      </c>
      <c r="Y32" s="106">
        <f t="shared" si="13"/>
        <v>245.09</v>
      </c>
      <c r="Z32" s="106">
        <f t="shared" si="9"/>
        <v>180.1</v>
      </c>
      <c r="AA32" s="106">
        <f t="shared" si="10"/>
        <v>180.1</v>
      </c>
      <c r="AB32" s="106">
        <f t="shared" si="1"/>
        <v>136.36000000000001</v>
      </c>
      <c r="AC32" s="479">
        <f t="shared" si="14"/>
        <v>470</v>
      </c>
      <c r="AD32" s="478">
        <f t="shared" si="15"/>
        <v>180.1</v>
      </c>
    </row>
    <row r="33" spans="1:30">
      <c r="A33" s="336"/>
      <c r="B33" s="337">
        <f>'Warrant 2'!V$14</f>
        <v>0</v>
      </c>
      <c r="C33" s="337">
        <f>'Warrant 2'!V$16</f>
        <v>0</v>
      </c>
      <c r="D33" s="338">
        <f>IF($B33&gt;=1150,80,($B$4*$B33^4)-($B$5*$B33^3)+($B$6*$B33^2)-($B$7*$B33)+$B$8)</f>
        <v>620.88226859999997</v>
      </c>
      <c r="E33" s="338">
        <f>IF(B33&gt;1120,115,-($G$4*B33^4)+($G$5*B33^3)-($G$6*B33^2)-($G$7*B33)+$G$8)</f>
        <v>620.74857729999997</v>
      </c>
      <c r="F33" s="338">
        <f>IF(B33&gt;1350,80,-($G$4*B33^4)+($G$5*B33^3)-($G$6*B33^2)-($G$7*B33)+$G$8)</f>
        <v>620.74857729999997</v>
      </c>
      <c r="G33" s="338">
        <f>IF($B33&gt;=1300,115,-($L$4*$B33^4)+($L$5*$B33^3)-($L$6*$B33^2)+($L$7*$B33)+$L$8)</f>
        <v>635.13219019999997</v>
      </c>
      <c r="H33" s="338">
        <f t="shared" ref="H33:H35" si="20">IF($B33&gt;750,60,-($B$12*$B33^4)+($B$13*$B33^3)-($B$14*$B33^2)+($B$15*$B33)+$B$16)</f>
        <v>244.08106129999999</v>
      </c>
      <c r="I33" s="338">
        <f>IF(B33&gt;800,80,-($G$12*B33^4)+($G$13*B33^3)-($G$14*B33^2)-($G$15*B33)+$G$16)</f>
        <v>421.46523910000002</v>
      </c>
      <c r="J33" s="338">
        <f>IF(B33&gt;=950,60,-($G$12*B33^4)+($G$13*B33^3)-($G$14*B33^2)-($G$15*B33)+$G$16)</f>
        <v>421.46523910000002</v>
      </c>
      <c r="K33" s="338">
        <f>IF($B33&gt;=900,80,-($L$12*$B33^4)+($L$13*$B33^3)-($L$14*$B33^2)+($L$15*$B33)+$L$16)</f>
        <v>419.81301300000001</v>
      </c>
      <c r="L33" s="378">
        <f ca="1">IF(C33&gt;=OFFSET($C$32,1,$E$38),1,0)</f>
        <v>0</v>
      </c>
      <c r="M33" s="340"/>
      <c r="N33" s="83"/>
      <c r="P33" s="108">
        <f t="shared" si="16"/>
        <v>580</v>
      </c>
      <c r="Q33" s="357">
        <f t="shared" si="17"/>
        <v>403.3</v>
      </c>
      <c r="R33" s="357">
        <f t="shared" si="4"/>
        <v>297.79000000000002</v>
      </c>
      <c r="S33" s="357">
        <f t="shared" si="5"/>
        <v>297.79000000000002</v>
      </c>
      <c r="T33" s="357">
        <f t="shared" si="6"/>
        <v>225.99</v>
      </c>
      <c r="U33" s="479">
        <f t="shared" si="18"/>
        <v>580</v>
      </c>
      <c r="V33" s="478">
        <f t="shared" si="19"/>
        <v>297.79000000000002</v>
      </c>
      <c r="W33" s="99"/>
      <c r="X33" s="108">
        <v>480</v>
      </c>
      <c r="Y33" s="106">
        <f t="shared" si="13"/>
        <v>239.06</v>
      </c>
      <c r="Z33" s="106">
        <f t="shared" si="9"/>
        <v>175.8</v>
      </c>
      <c r="AA33" s="106">
        <f t="shared" si="10"/>
        <v>175.8</v>
      </c>
      <c r="AB33" s="106">
        <f t="shared" si="1"/>
        <v>132.59</v>
      </c>
      <c r="AC33" s="479">
        <f t="shared" si="14"/>
        <v>480</v>
      </c>
      <c r="AD33" s="478">
        <f t="shared" si="15"/>
        <v>175.8</v>
      </c>
    </row>
    <row r="34" spans="1:30">
      <c r="A34" s="336"/>
      <c r="B34" s="337">
        <f>'Warrant 2'!X$14</f>
        <v>0</v>
      </c>
      <c r="C34" s="337">
        <f>'Warrant 2'!X$16</f>
        <v>0</v>
      </c>
      <c r="D34" s="338">
        <f>IF($B34&gt;=1150,80,($B$4*$B34^4)-($B$5*$B34^3)+($B$6*$B34^2)-($B$7*$B34)+$B$8)</f>
        <v>620.88226859999997</v>
      </c>
      <c r="E34" s="338">
        <f t="shared" ref="E34:E36" si="21">IF(B34&gt;1120,115,-($G$4*B34^4)+($G$5*B34^3)-($G$6*B34^2)-($G$7*B34)+$G$8)</f>
        <v>620.74857729999997</v>
      </c>
      <c r="F34" s="338">
        <f t="shared" ref="F34:F36" si="22">IF(B34&gt;1350,80,-($G$4*B34^4)+($G$5*B34^3)-($G$6*B34^2)-($G$7*B34)+$G$8)</f>
        <v>620.74857729999997</v>
      </c>
      <c r="G34" s="338">
        <f t="shared" ref="G34:G36" si="23">IF($B34&gt;=1300,115,-($L$4*$B34^4)+($L$5*$B34^3)-($L$6*$B34^2)+($L$7*$B34)+$L$8)</f>
        <v>635.13219019999997</v>
      </c>
      <c r="H34" s="338">
        <f t="shared" si="20"/>
        <v>244.08106129999999</v>
      </c>
      <c r="I34" s="338">
        <f t="shared" ref="I34:I36" si="24">IF(B34&gt;800,80,-($G$12*B34^4)+($G$13*B34^3)-($G$14*B34^2)-($G$15*B34)+$G$16)</f>
        <v>421.46523910000002</v>
      </c>
      <c r="J34" s="338">
        <f t="shared" ref="J34:J36" si="25">IF(B34&gt;=950,60,-($G$12*B34^4)+($G$13*B34^3)-($G$14*B34^2)-($G$15*B34)+$G$16)</f>
        <v>421.46523910000002</v>
      </c>
      <c r="K34" s="338">
        <f t="shared" ref="K34:K36" si="26">IF($B34&gt;=900,80,-($L$12*$B34^4)+($L$13*$B34^3)-($L$14*$B34^2)+($L$15*$B34)+$L$16)</f>
        <v>419.81301300000001</v>
      </c>
      <c r="L34" s="378">
        <f ca="1">IF(C34&gt;=OFFSET($C$32,2,$E$38),1,0)</f>
        <v>0</v>
      </c>
      <c r="M34" s="340"/>
      <c r="N34" s="83"/>
      <c r="P34" s="108">
        <f t="shared" si="16"/>
        <v>590</v>
      </c>
      <c r="Q34" s="357">
        <f t="shared" si="17"/>
        <v>397.11</v>
      </c>
      <c r="R34" s="357">
        <f t="shared" si="4"/>
        <v>292.94</v>
      </c>
      <c r="S34" s="357">
        <f t="shared" si="5"/>
        <v>292.94</v>
      </c>
      <c r="T34" s="357">
        <f t="shared" si="6"/>
        <v>222.07</v>
      </c>
      <c r="U34" s="479">
        <f t="shared" si="18"/>
        <v>590</v>
      </c>
      <c r="V34" s="478">
        <f t="shared" si="19"/>
        <v>292.94</v>
      </c>
      <c r="W34" s="99"/>
      <c r="X34" s="108">
        <v>490</v>
      </c>
      <c r="Y34" s="106">
        <f t="shared" si="13"/>
        <v>233.11</v>
      </c>
      <c r="Z34" s="106">
        <f t="shared" si="9"/>
        <v>171.58</v>
      </c>
      <c r="AA34" s="106">
        <f t="shared" si="10"/>
        <v>171.58</v>
      </c>
      <c r="AB34" s="106">
        <f t="shared" si="1"/>
        <v>128.91</v>
      </c>
      <c r="AC34" s="479">
        <f t="shared" si="14"/>
        <v>490</v>
      </c>
      <c r="AD34" s="478">
        <f t="shared" si="15"/>
        <v>171.58</v>
      </c>
    </row>
    <row r="35" spans="1:30">
      <c r="A35" s="336"/>
      <c r="B35" s="337">
        <f>'Warrant 2'!Z$14</f>
        <v>0</v>
      </c>
      <c r="C35" s="337">
        <f>'Warrant 2'!Z$16</f>
        <v>0</v>
      </c>
      <c r="D35" s="338">
        <f t="shared" ref="D35:D36" si="27">IF($B35&gt;=1150,80,($B$4*$B35^4)-($B$5*$B35^3)+($B$6*$B35^2)-($B$7*$B35)+$B$8)</f>
        <v>620.88226859999997</v>
      </c>
      <c r="E35" s="338">
        <f t="shared" si="21"/>
        <v>620.74857729999997</v>
      </c>
      <c r="F35" s="338">
        <f t="shared" si="22"/>
        <v>620.74857729999997</v>
      </c>
      <c r="G35" s="338">
        <f t="shared" si="23"/>
        <v>635.13219019999997</v>
      </c>
      <c r="H35" s="338">
        <f t="shared" si="20"/>
        <v>244.08106129999999</v>
      </c>
      <c r="I35" s="338">
        <f t="shared" si="24"/>
        <v>421.46523910000002</v>
      </c>
      <c r="J35" s="338">
        <f t="shared" si="25"/>
        <v>421.46523910000002</v>
      </c>
      <c r="K35" s="338">
        <f t="shared" si="26"/>
        <v>419.81301300000001</v>
      </c>
      <c r="L35" s="378">
        <f ca="1">IF(C35&gt;=OFFSET($C$32,3,$E$38),1,0)</f>
        <v>0</v>
      </c>
      <c r="M35" s="340"/>
      <c r="N35" s="83"/>
      <c r="P35" s="108">
        <f t="shared" si="16"/>
        <v>600</v>
      </c>
      <c r="Q35" s="357">
        <f t="shared" si="17"/>
        <v>390.96</v>
      </c>
      <c r="R35" s="357">
        <f t="shared" si="4"/>
        <v>288.14</v>
      </c>
      <c r="S35" s="357">
        <f t="shared" si="5"/>
        <v>288.14</v>
      </c>
      <c r="T35" s="357">
        <f t="shared" si="6"/>
        <v>218.19</v>
      </c>
      <c r="U35" s="479">
        <f t="shared" si="18"/>
        <v>600</v>
      </c>
      <c r="V35" s="478">
        <f t="shared" si="19"/>
        <v>288.14</v>
      </c>
      <c r="W35" s="99"/>
      <c r="X35" s="108">
        <v>500</v>
      </c>
      <c r="Y35" s="106">
        <f t="shared" si="13"/>
        <v>227.25</v>
      </c>
      <c r="Z35" s="106">
        <f t="shared" si="9"/>
        <v>167.43</v>
      </c>
      <c r="AA35" s="106">
        <f t="shared" si="10"/>
        <v>167.43</v>
      </c>
      <c r="AB35" s="106">
        <f t="shared" si="1"/>
        <v>125.3</v>
      </c>
      <c r="AC35" s="479">
        <f t="shared" si="14"/>
        <v>500</v>
      </c>
      <c r="AD35" s="478">
        <f t="shared" si="15"/>
        <v>167.43</v>
      </c>
    </row>
    <row r="36" spans="1:30">
      <c r="A36" s="336"/>
      <c r="B36" s="337">
        <f>'Warrant 2'!AB$14</f>
        <v>0</v>
      </c>
      <c r="C36" s="337">
        <f>'Warrant 2'!AB$16</f>
        <v>0</v>
      </c>
      <c r="D36" s="338">
        <f t="shared" si="27"/>
        <v>620.88226859999997</v>
      </c>
      <c r="E36" s="338">
        <f t="shared" si="21"/>
        <v>620.74857729999997</v>
      </c>
      <c r="F36" s="338">
        <f t="shared" si="22"/>
        <v>620.74857729999997</v>
      </c>
      <c r="G36" s="338">
        <f t="shared" si="23"/>
        <v>635.13219019999997</v>
      </c>
      <c r="H36" s="338">
        <f>IF($B36&gt;750,60,-($B$12*$B36^4)+($B$13*$B36^3)-($B$14*$B36^2)+($B$15*$B36)+$B$16)</f>
        <v>244.08106129999999</v>
      </c>
      <c r="I36" s="338">
        <f t="shared" si="24"/>
        <v>421.46523910000002</v>
      </c>
      <c r="J36" s="338">
        <f t="shared" si="25"/>
        <v>421.46523910000002</v>
      </c>
      <c r="K36" s="338">
        <f t="shared" si="26"/>
        <v>419.81301300000001</v>
      </c>
      <c r="L36" s="378">
        <f ca="1">IF(C36&gt;=OFFSET($C$32,4,$E$38),1,0)</f>
        <v>0</v>
      </c>
      <c r="M36" s="340"/>
      <c r="N36" s="83"/>
      <c r="P36" s="108">
        <f t="shared" si="16"/>
        <v>610</v>
      </c>
      <c r="Q36" s="357">
        <f t="shared" si="17"/>
        <v>384.83</v>
      </c>
      <c r="R36" s="357">
        <f t="shared" si="4"/>
        <v>283.39999999999998</v>
      </c>
      <c r="S36" s="357">
        <f t="shared" si="5"/>
        <v>283.39999999999998</v>
      </c>
      <c r="T36" s="357">
        <f t="shared" si="6"/>
        <v>214.38</v>
      </c>
      <c r="U36" s="479">
        <f t="shared" si="18"/>
        <v>610</v>
      </c>
      <c r="V36" s="478">
        <f t="shared" si="19"/>
        <v>283.39999999999998</v>
      </c>
      <c r="W36" s="99"/>
      <c r="X36" s="108">
        <v>510</v>
      </c>
      <c r="Y36" s="106">
        <f t="shared" si="13"/>
        <v>221.48</v>
      </c>
      <c r="Z36" s="106">
        <f t="shared" si="9"/>
        <v>163.36000000000001</v>
      </c>
      <c r="AA36" s="106">
        <f t="shared" si="10"/>
        <v>163.36000000000001</v>
      </c>
      <c r="AB36" s="106">
        <f t="shared" si="1"/>
        <v>121.77</v>
      </c>
      <c r="AC36" s="479">
        <f t="shared" si="14"/>
        <v>510</v>
      </c>
      <c r="AD36" s="478">
        <f t="shared" si="15"/>
        <v>163.36000000000001</v>
      </c>
    </row>
    <row r="37" spans="1:30">
      <c r="A37" s="336"/>
      <c r="B37" s="376" t="s">
        <v>5</v>
      </c>
      <c r="C37" s="376" t="s">
        <v>6</v>
      </c>
      <c r="D37" s="377" t="s">
        <v>33</v>
      </c>
      <c r="E37" s="373" t="s">
        <v>219</v>
      </c>
      <c r="F37" s="338"/>
      <c r="G37" s="338"/>
      <c r="H37" s="338"/>
      <c r="I37" s="338"/>
      <c r="J37" s="338"/>
      <c r="K37" s="338"/>
      <c r="L37" s="378">
        <f ca="1">SUM(L33:L36)</f>
        <v>0</v>
      </c>
      <c r="M37" s="340"/>
      <c r="N37" s="83"/>
      <c r="P37" s="108">
        <f t="shared" si="16"/>
        <v>620</v>
      </c>
      <c r="Q37" s="357">
        <f t="shared" si="17"/>
        <v>378.74</v>
      </c>
      <c r="R37" s="357">
        <f t="shared" si="4"/>
        <v>278.7</v>
      </c>
      <c r="S37" s="357">
        <f t="shared" si="5"/>
        <v>278.7</v>
      </c>
      <c r="T37" s="357">
        <f t="shared" si="6"/>
        <v>210.61</v>
      </c>
      <c r="U37" s="479">
        <f t="shared" si="18"/>
        <v>620</v>
      </c>
      <c r="V37" s="478">
        <f t="shared" si="19"/>
        <v>278.7</v>
      </c>
      <c r="W37" s="99"/>
      <c r="X37" s="108">
        <v>520</v>
      </c>
      <c r="Y37" s="106">
        <f t="shared" si="13"/>
        <v>215.81</v>
      </c>
      <c r="Z37" s="106">
        <f t="shared" si="9"/>
        <v>159.37</v>
      </c>
      <c r="AA37" s="106">
        <f t="shared" si="10"/>
        <v>159.37</v>
      </c>
      <c r="AB37" s="106">
        <f t="shared" si="1"/>
        <v>118.32</v>
      </c>
      <c r="AC37" s="479">
        <f t="shared" si="14"/>
        <v>520</v>
      </c>
      <c r="AD37" s="478">
        <f t="shared" si="15"/>
        <v>159.37</v>
      </c>
    </row>
    <row r="38" spans="1:30">
      <c r="A38" s="336"/>
      <c r="B38" s="310">
        <f>IF('Warrant 1'!W9=1,0,2)</f>
        <v>2</v>
      </c>
      <c r="C38" s="310">
        <f>'Warrant 1'!W10</f>
        <v>0</v>
      </c>
      <c r="D38" s="310">
        <f>IF('Warrant 1'!AN18=0,0,4)</f>
        <v>0</v>
      </c>
      <c r="E38" s="310">
        <f>B38+C38+D38</f>
        <v>2</v>
      </c>
      <c r="H38" s="338"/>
      <c r="I38" s="338"/>
      <c r="J38" s="338"/>
      <c r="K38" s="338"/>
      <c r="L38" s="339"/>
      <c r="M38" s="340"/>
      <c r="N38" s="83"/>
      <c r="P38" s="108">
        <f t="shared" si="16"/>
        <v>630</v>
      </c>
      <c r="Q38" s="357">
        <f t="shared" si="17"/>
        <v>372.68</v>
      </c>
      <c r="R38" s="357">
        <f t="shared" si="4"/>
        <v>274.06</v>
      </c>
      <c r="S38" s="357">
        <f t="shared" si="5"/>
        <v>274.06</v>
      </c>
      <c r="T38" s="357">
        <f t="shared" si="6"/>
        <v>206.89</v>
      </c>
      <c r="U38" s="479">
        <f t="shared" si="18"/>
        <v>630</v>
      </c>
      <c r="V38" s="478">
        <f t="shared" si="19"/>
        <v>274.06</v>
      </c>
      <c r="W38" s="99"/>
      <c r="X38" s="108">
        <v>530</v>
      </c>
      <c r="Y38" s="106">
        <f t="shared" si="13"/>
        <v>210.25</v>
      </c>
      <c r="Z38" s="106">
        <f t="shared" si="9"/>
        <v>155.44999999999999</v>
      </c>
      <c r="AA38" s="106">
        <f t="shared" si="10"/>
        <v>155.44999999999999</v>
      </c>
      <c r="AB38" s="106">
        <f t="shared" si="1"/>
        <v>114.96</v>
      </c>
      <c r="AC38" s="479">
        <f t="shared" si="14"/>
        <v>530</v>
      </c>
      <c r="AD38" s="478">
        <f t="shared" si="15"/>
        <v>155.44999999999999</v>
      </c>
    </row>
    <row r="39" spans="1:30">
      <c r="A39" s="336"/>
      <c r="H39" s="338"/>
      <c r="I39" s="338"/>
      <c r="J39" s="338"/>
      <c r="K39" s="338"/>
      <c r="L39" s="339"/>
      <c r="M39" s="340"/>
      <c r="N39" s="83"/>
      <c r="P39" s="108">
        <f t="shared" si="16"/>
        <v>640</v>
      </c>
      <c r="Q39" s="357">
        <f t="shared" si="17"/>
        <v>366.66</v>
      </c>
      <c r="R39" s="357">
        <f t="shared" si="4"/>
        <v>269.48</v>
      </c>
      <c r="S39" s="357">
        <f t="shared" si="5"/>
        <v>269.48</v>
      </c>
      <c r="T39" s="357">
        <f t="shared" si="6"/>
        <v>203.22</v>
      </c>
      <c r="U39" s="479">
        <f t="shared" si="18"/>
        <v>640</v>
      </c>
      <c r="V39" s="478">
        <f t="shared" si="19"/>
        <v>269.48</v>
      </c>
      <c r="W39" s="99"/>
      <c r="X39" s="108">
        <v>540</v>
      </c>
      <c r="Y39" s="106">
        <f t="shared" si="13"/>
        <v>204.79</v>
      </c>
      <c r="Z39" s="106">
        <f t="shared" si="9"/>
        <v>151.62</v>
      </c>
      <c r="AA39" s="106">
        <f t="shared" si="10"/>
        <v>151.62</v>
      </c>
      <c r="AB39" s="106">
        <f t="shared" si="1"/>
        <v>111.69</v>
      </c>
      <c r="AC39" s="479">
        <f t="shared" si="14"/>
        <v>540</v>
      </c>
      <c r="AD39" s="478">
        <f t="shared" si="15"/>
        <v>151.62</v>
      </c>
    </row>
    <row r="40" spans="1:30">
      <c r="A40" s="336"/>
      <c r="H40" s="338"/>
      <c r="I40" s="338"/>
      <c r="J40" s="338"/>
      <c r="K40" s="338"/>
      <c r="L40" s="339"/>
      <c r="M40" s="340"/>
      <c r="N40" s="83"/>
      <c r="P40" s="108">
        <f t="shared" si="16"/>
        <v>650</v>
      </c>
      <c r="Q40" s="357">
        <f t="shared" si="17"/>
        <v>360.68</v>
      </c>
      <c r="R40" s="357">
        <f t="shared" si="4"/>
        <v>264.95</v>
      </c>
      <c r="S40" s="357">
        <f t="shared" si="5"/>
        <v>264.95</v>
      </c>
      <c r="T40" s="357">
        <f t="shared" si="6"/>
        <v>199.61</v>
      </c>
      <c r="U40" s="479">
        <f t="shared" si="18"/>
        <v>650</v>
      </c>
      <c r="V40" s="478">
        <f t="shared" si="19"/>
        <v>264.95</v>
      </c>
      <c r="W40" s="99"/>
      <c r="X40" s="108">
        <v>550</v>
      </c>
      <c r="Y40" s="106">
        <f t="shared" si="13"/>
        <v>199.45</v>
      </c>
      <c r="Z40" s="106">
        <f t="shared" si="9"/>
        <v>147.86000000000001</v>
      </c>
      <c r="AA40" s="106">
        <f t="shared" si="10"/>
        <v>147.86000000000001</v>
      </c>
      <c r="AB40" s="106">
        <f t="shared" si="1"/>
        <v>108.5</v>
      </c>
      <c r="AC40" s="479">
        <f t="shared" si="14"/>
        <v>550</v>
      </c>
      <c r="AD40" s="478">
        <f t="shared" si="15"/>
        <v>147.86000000000001</v>
      </c>
    </row>
    <row r="41" spans="1:30">
      <c r="A41" s="336"/>
      <c r="H41" s="338"/>
      <c r="I41" s="338"/>
      <c r="J41" s="338"/>
      <c r="K41" s="338"/>
      <c r="L41" s="339"/>
      <c r="M41" s="340"/>
      <c r="N41" s="83"/>
      <c r="P41" s="108">
        <f t="shared" si="16"/>
        <v>660</v>
      </c>
      <c r="Q41" s="357">
        <f t="shared" si="17"/>
        <v>354.75</v>
      </c>
      <c r="R41" s="357">
        <f t="shared" si="4"/>
        <v>260.47000000000003</v>
      </c>
      <c r="S41" s="357">
        <f t="shared" si="5"/>
        <v>260.47000000000003</v>
      </c>
      <c r="T41" s="357">
        <f t="shared" si="6"/>
        <v>196.04</v>
      </c>
      <c r="U41" s="479">
        <f t="shared" si="18"/>
        <v>660</v>
      </c>
      <c r="V41" s="478">
        <f t="shared" si="19"/>
        <v>260.47000000000003</v>
      </c>
      <c r="W41" s="99"/>
      <c r="X41" s="108">
        <v>560</v>
      </c>
      <c r="Y41" s="106">
        <f t="shared" si="13"/>
        <v>194.22</v>
      </c>
      <c r="Z41" s="106">
        <f t="shared" si="9"/>
        <v>144.19</v>
      </c>
      <c r="AA41" s="106">
        <f t="shared" si="10"/>
        <v>144.19</v>
      </c>
      <c r="AB41" s="106">
        <f t="shared" si="1"/>
        <v>105.4</v>
      </c>
      <c r="AC41" s="479">
        <f t="shared" si="14"/>
        <v>560</v>
      </c>
      <c r="AD41" s="478">
        <f t="shared" si="15"/>
        <v>144.19</v>
      </c>
    </row>
    <row r="42" spans="1:30">
      <c r="A42" s="336"/>
      <c r="H42" s="338"/>
      <c r="I42" s="338"/>
      <c r="J42" s="338"/>
      <c r="K42" s="338"/>
      <c r="L42" s="339"/>
      <c r="M42" s="340"/>
      <c r="N42" s="83"/>
      <c r="P42" s="108">
        <f t="shared" si="16"/>
        <v>670</v>
      </c>
      <c r="Q42" s="357">
        <f t="shared" si="17"/>
        <v>348.87</v>
      </c>
      <c r="R42" s="357">
        <f t="shared" si="4"/>
        <v>256.05</v>
      </c>
      <c r="S42" s="357">
        <f t="shared" si="5"/>
        <v>256.05</v>
      </c>
      <c r="T42" s="357">
        <f t="shared" si="6"/>
        <v>192.51</v>
      </c>
      <c r="U42" s="479">
        <f t="shared" si="18"/>
        <v>670</v>
      </c>
      <c r="V42" s="478">
        <f t="shared" si="19"/>
        <v>256.05</v>
      </c>
      <c r="W42" s="99"/>
      <c r="X42" s="108">
        <v>570</v>
      </c>
      <c r="Y42" s="106">
        <f t="shared" si="13"/>
        <v>189.1</v>
      </c>
      <c r="Z42" s="106">
        <f t="shared" si="9"/>
        <v>140.59</v>
      </c>
      <c r="AA42" s="106">
        <f t="shared" si="10"/>
        <v>140.59</v>
      </c>
      <c r="AB42" s="106">
        <f t="shared" si="1"/>
        <v>102.38</v>
      </c>
      <c r="AC42" s="479">
        <f t="shared" si="14"/>
        <v>570</v>
      </c>
      <c r="AD42" s="478">
        <f t="shared" si="15"/>
        <v>140.59</v>
      </c>
    </row>
    <row r="43" spans="1:30">
      <c r="A43" s="336"/>
      <c r="B43" s="337"/>
      <c r="C43" s="337"/>
      <c r="D43" s="338"/>
      <c r="E43" s="338"/>
      <c r="F43" s="338"/>
      <c r="G43" s="338"/>
      <c r="H43" s="338"/>
      <c r="I43" s="338"/>
      <c r="J43" s="338"/>
      <c r="K43" s="338"/>
      <c r="L43" s="339"/>
      <c r="M43" s="340"/>
      <c r="N43" s="83"/>
      <c r="P43" s="108">
        <f t="shared" si="16"/>
        <v>680</v>
      </c>
      <c r="Q43" s="357">
        <f t="shared" si="17"/>
        <v>343.04</v>
      </c>
      <c r="R43" s="357">
        <f t="shared" si="4"/>
        <v>251.69</v>
      </c>
      <c r="S43" s="357">
        <f t="shared" si="5"/>
        <v>251.69</v>
      </c>
      <c r="T43" s="357">
        <f t="shared" si="6"/>
        <v>189.04</v>
      </c>
      <c r="U43" s="479">
        <f t="shared" si="18"/>
        <v>680</v>
      </c>
      <c r="V43" s="478">
        <f t="shared" si="19"/>
        <v>251.69</v>
      </c>
      <c r="W43" s="99"/>
      <c r="X43" s="108">
        <v>580</v>
      </c>
      <c r="Y43" s="106">
        <f t="shared" si="13"/>
        <v>184.11</v>
      </c>
      <c r="Z43" s="106">
        <f t="shared" si="9"/>
        <v>137.08000000000001</v>
      </c>
      <c r="AA43" s="106">
        <f t="shared" si="10"/>
        <v>137.08000000000001</v>
      </c>
      <c r="AB43" s="106">
        <f t="shared" si="1"/>
        <v>99.45</v>
      </c>
      <c r="AC43" s="479">
        <f t="shared" si="14"/>
        <v>580</v>
      </c>
      <c r="AD43" s="478">
        <f t="shared" si="15"/>
        <v>137.08000000000001</v>
      </c>
    </row>
    <row r="44" spans="1:30">
      <c r="A44" s="336"/>
      <c r="B44" s="337"/>
      <c r="C44" s="337"/>
      <c r="D44" s="338"/>
      <c r="E44" s="338"/>
      <c r="F44" s="338"/>
      <c r="G44" s="338"/>
      <c r="H44" s="338"/>
      <c r="I44" s="338"/>
      <c r="J44" s="338"/>
      <c r="K44" s="338"/>
      <c r="L44" s="339"/>
      <c r="M44" s="340"/>
      <c r="N44" s="83"/>
      <c r="P44" s="108">
        <f t="shared" si="16"/>
        <v>690</v>
      </c>
      <c r="Q44" s="357">
        <f t="shared" si="17"/>
        <v>337.26</v>
      </c>
      <c r="R44" s="357">
        <f t="shared" si="4"/>
        <v>247.38</v>
      </c>
      <c r="S44" s="357">
        <f t="shared" si="5"/>
        <v>247.38</v>
      </c>
      <c r="T44" s="357">
        <f t="shared" si="6"/>
        <v>185.6</v>
      </c>
      <c r="U44" s="479">
        <f t="shared" si="18"/>
        <v>690</v>
      </c>
      <c r="V44" s="478">
        <f t="shared" si="19"/>
        <v>247.38</v>
      </c>
      <c r="W44" s="99"/>
      <c r="X44" s="108">
        <v>590</v>
      </c>
      <c r="Y44" s="106">
        <f t="shared" si="13"/>
        <v>179.23</v>
      </c>
      <c r="Z44" s="106">
        <f t="shared" si="9"/>
        <v>133.65</v>
      </c>
      <c r="AA44" s="106">
        <f t="shared" si="10"/>
        <v>133.65</v>
      </c>
      <c r="AB44" s="106">
        <f t="shared" si="1"/>
        <v>96.6</v>
      </c>
      <c r="AC44" s="479">
        <f t="shared" si="14"/>
        <v>590</v>
      </c>
      <c r="AD44" s="478">
        <f t="shared" si="15"/>
        <v>133.65</v>
      </c>
    </row>
    <row r="45" spans="1:30">
      <c r="A45" s="83"/>
      <c r="B45" s="83"/>
      <c r="C45" s="83"/>
      <c r="D45" s="83"/>
      <c r="E45" s="83"/>
      <c r="F45" s="83"/>
      <c r="G45" s="83"/>
      <c r="H45" s="83"/>
      <c r="I45" s="83"/>
      <c r="J45" s="83"/>
      <c r="K45" s="83"/>
      <c r="L45" s="83"/>
      <c r="M45" s="340"/>
      <c r="N45" s="83"/>
      <c r="P45" s="108">
        <f t="shared" si="16"/>
        <v>700</v>
      </c>
      <c r="Q45" s="357">
        <f t="shared" si="17"/>
        <v>331.54</v>
      </c>
      <c r="R45" s="357">
        <f t="shared" si="4"/>
        <v>243.13</v>
      </c>
      <c r="S45" s="357">
        <f t="shared" si="5"/>
        <v>243.13</v>
      </c>
      <c r="T45" s="357">
        <f t="shared" si="6"/>
        <v>182.22</v>
      </c>
      <c r="U45" s="479">
        <f t="shared" si="18"/>
        <v>700</v>
      </c>
      <c r="V45" s="478">
        <f t="shared" si="19"/>
        <v>243.13</v>
      </c>
      <c r="W45" s="99"/>
      <c r="X45" s="108">
        <v>600</v>
      </c>
      <c r="Y45" s="106">
        <f t="shared" si="13"/>
        <v>174.48</v>
      </c>
      <c r="Z45" s="106">
        <f t="shared" si="9"/>
        <v>130.31</v>
      </c>
      <c r="AA45" s="106">
        <f t="shared" si="10"/>
        <v>130.31</v>
      </c>
      <c r="AB45" s="106">
        <f t="shared" si="1"/>
        <v>93.84</v>
      </c>
      <c r="AC45" s="479">
        <f t="shared" si="14"/>
        <v>600</v>
      </c>
      <c r="AD45" s="478">
        <f t="shared" si="15"/>
        <v>130.31</v>
      </c>
    </row>
    <row r="46" spans="1:30">
      <c r="A46" s="333"/>
      <c r="B46" s="333"/>
      <c r="C46" s="341"/>
      <c r="D46" s="333"/>
      <c r="E46" s="333"/>
      <c r="F46" s="341"/>
      <c r="G46" s="333"/>
      <c r="H46" s="333"/>
      <c r="I46" s="342"/>
      <c r="J46" s="83"/>
      <c r="K46" s="83"/>
      <c r="L46" s="83"/>
      <c r="M46" s="83"/>
      <c r="N46" s="83"/>
      <c r="P46" s="108">
        <f t="shared" si="16"/>
        <v>710</v>
      </c>
      <c r="Q46" s="357">
        <f t="shared" si="17"/>
        <v>325.87</v>
      </c>
      <c r="R46" s="357">
        <f t="shared" si="4"/>
        <v>238.94</v>
      </c>
      <c r="S46" s="357">
        <f t="shared" si="5"/>
        <v>238.94</v>
      </c>
      <c r="T46" s="357">
        <f t="shared" si="6"/>
        <v>178.88</v>
      </c>
      <c r="U46" s="479">
        <f t="shared" si="18"/>
        <v>710</v>
      </c>
      <c r="V46" s="478">
        <f t="shared" si="19"/>
        <v>238.94</v>
      </c>
      <c r="W46" s="97"/>
      <c r="X46" s="108">
        <v>610</v>
      </c>
      <c r="Y46" s="106">
        <f t="shared" si="13"/>
        <v>169.85</v>
      </c>
      <c r="Z46" s="106">
        <f t="shared" si="9"/>
        <v>127.04</v>
      </c>
      <c r="AA46" s="106">
        <f t="shared" si="10"/>
        <v>127.04</v>
      </c>
      <c r="AB46" s="106">
        <f t="shared" si="1"/>
        <v>91.16</v>
      </c>
      <c r="AC46" s="479">
        <f t="shared" si="14"/>
        <v>610</v>
      </c>
      <c r="AD46" s="478">
        <f t="shared" si="15"/>
        <v>127.04</v>
      </c>
    </row>
    <row r="47" spans="1:30">
      <c r="A47" s="83"/>
      <c r="B47" s="83"/>
      <c r="C47" s="83"/>
      <c r="D47" s="83"/>
      <c r="E47" s="343"/>
      <c r="F47" s="83"/>
      <c r="G47" s="83"/>
      <c r="H47" s="83"/>
      <c r="I47" s="83"/>
      <c r="J47" s="83"/>
      <c r="K47" s="83"/>
      <c r="L47" s="83"/>
      <c r="M47" s="83"/>
      <c r="N47" s="83"/>
      <c r="P47" s="108">
        <f t="shared" si="16"/>
        <v>720</v>
      </c>
      <c r="Q47" s="357">
        <f t="shared" si="17"/>
        <v>320.27</v>
      </c>
      <c r="R47" s="357">
        <f t="shared" si="4"/>
        <v>234.8</v>
      </c>
      <c r="S47" s="357">
        <f t="shared" si="5"/>
        <v>234.8</v>
      </c>
      <c r="T47" s="357">
        <f t="shared" si="6"/>
        <v>175.58</v>
      </c>
      <c r="U47" s="479">
        <f t="shared" si="18"/>
        <v>720</v>
      </c>
      <c r="V47" s="478">
        <f t="shared" si="19"/>
        <v>234.8</v>
      </c>
      <c r="W47" s="97"/>
      <c r="X47" s="108">
        <v>620</v>
      </c>
      <c r="Y47" s="106">
        <f t="shared" si="13"/>
        <v>165.35</v>
      </c>
      <c r="Z47" s="106">
        <f t="shared" si="9"/>
        <v>123.86</v>
      </c>
      <c r="AA47" s="106">
        <f t="shared" si="10"/>
        <v>123.86</v>
      </c>
      <c r="AB47" s="106">
        <f t="shared" si="1"/>
        <v>88.56</v>
      </c>
      <c r="AC47" s="479">
        <f t="shared" si="14"/>
        <v>620</v>
      </c>
      <c r="AD47" s="478">
        <f t="shared" si="15"/>
        <v>123.86</v>
      </c>
    </row>
    <row r="48" spans="1:30">
      <c r="A48" s="83"/>
      <c r="B48" s="83"/>
      <c r="C48" s="83"/>
      <c r="D48" s="83"/>
      <c r="E48" s="83"/>
      <c r="F48" s="83"/>
      <c r="G48" s="83"/>
      <c r="H48" s="83"/>
      <c r="I48" s="83"/>
      <c r="J48" s="83"/>
      <c r="K48" s="83"/>
      <c r="L48" s="83"/>
      <c r="M48" s="83"/>
      <c r="N48" s="83"/>
      <c r="P48" s="108">
        <f t="shared" si="16"/>
        <v>730</v>
      </c>
      <c r="Q48" s="357">
        <f t="shared" si="17"/>
        <v>314.73</v>
      </c>
      <c r="R48" s="357">
        <f t="shared" si="4"/>
        <v>230.73</v>
      </c>
      <c r="S48" s="357">
        <f t="shared" si="5"/>
        <v>230.73</v>
      </c>
      <c r="T48" s="357">
        <f t="shared" si="6"/>
        <v>172.33</v>
      </c>
      <c r="U48" s="479">
        <f t="shared" si="18"/>
        <v>730</v>
      </c>
      <c r="V48" s="478">
        <f t="shared" si="19"/>
        <v>230.73</v>
      </c>
      <c r="W48" s="97"/>
      <c r="X48" s="108">
        <v>630</v>
      </c>
      <c r="Y48" s="106">
        <f t="shared" si="13"/>
        <v>160.97</v>
      </c>
      <c r="Z48" s="106">
        <f t="shared" si="9"/>
        <v>120.76</v>
      </c>
      <c r="AA48" s="106">
        <f t="shared" si="10"/>
        <v>120.76</v>
      </c>
      <c r="AB48" s="106">
        <f t="shared" si="1"/>
        <v>86.04</v>
      </c>
      <c r="AC48" s="479">
        <f t="shared" si="14"/>
        <v>630</v>
      </c>
      <c r="AD48" s="478">
        <f t="shared" si="15"/>
        <v>120.76</v>
      </c>
    </row>
    <row r="49" spans="1:30">
      <c r="A49" s="83"/>
      <c r="B49" s="83"/>
      <c r="C49" s="83"/>
      <c r="D49" s="83"/>
      <c r="E49" s="83"/>
      <c r="F49" s="83"/>
      <c r="G49" s="83"/>
      <c r="H49" s="83"/>
      <c r="I49" s="83"/>
      <c r="J49" s="83"/>
      <c r="K49" s="83"/>
      <c r="L49" s="83"/>
      <c r="M49" s="83"/>
      <c r="N49" s="83"/>
      <c r="P49" s="108">
        <f t="shared" si="16"/>
        <v>740</v>
      </c>
      <c r="Q49" s="357">
        <f t="shared" si="17"/>
        <v>309.25</v>
      </c>
      <c r="R49" s="357">
        <f t="shared" si="4"/>
        <v>226.71</v>
      </c>
      <c r="S49" s="357">
        <f t="shared" si="5"/>
        <v>226.71</v>
      </c>
      <c r="T49" s="357">
        <f t="shared" si="6"/>
        <v>169.12</v>
      </c>
      <c r="U49" s="479">
        <f t="shared" si="18"/>
        <v>740</v>
      </c>
      <c r="V49" s="478">
        <f t="shared" si="19"/>
        <v>226.71</v>
      </c>
      <c r="W49" s="97"/>
      <c r="X49" s="108">
        <v>640</v>
      </c>
      <c r="Y49" s="106">
        <f t="shared" si="13"/>
        <v>156.72</v>
      </c>
      <c r="Z49" s="106">
        <f t="shared" si="9"/>
        <v>117.74</v>
      </c>
      <c r="AA49" s="106">
        <f t="shared" si="10"/>
        <v>117.74</v>
      </c>
      <c r="AB49" s="106">
        <f t="shared" si="1"/>
        <v>83.59</v>
      </c>
      <c r="AC49" s="479">
        <f t="shared" si="14"/>
        <v>640</v>
      </c>
      <c r="AD49" s="478">
        <f t="shared" si="15"/>
        <v>117.74</v>
      </c>
    </row>
    <row r="50" spans="1:30">
      <c r="A50" s="83"/>
      <c r="B50" s="83"/>
      <c r="C50" s="83"/>
      <c r="D50" s="83"/>
      <c r="E50" s="83"/>
      <c r="F50" s="83"/>
      <c r="G50" s="83"/>
      <c r="H50" s="83"/>
      <c r="I50" s="83"/>
      <c r="J50" s="83"/>
      <c r="K50" s="83"/>
      <c r="L50" s="83"/>
      <c r="M50" s="83"/>
      <c r="N50" s="83"/>
      <c r="P50" s="108">
        <f t="shared" si="16"/>
        <v>750</v>
      </c>
      <c r="Q50" s="357">
        <f t="shared" si="17"/>
        <v>303.83</v>
      </c>
      <c r="R50" s="357">
        <f t="shared" si="4"/>
        <v>222.75</v>
      </c>
      <c r="S50" s="357">
        <f t="shared" si="5"/>
        <v>222.75</v>
      </c>
      <c r="T50" s="357">
        <f t="shared" si="6"/>
        <v>165.95</v>
      </c>
      <c r="U50" s="479">
        <f t="shared" si="18"/>
        <v>750</v>
      </c>
      <c r="V50" s="478">
        <f t="shared" si="19"/>
        <v>222.75</v>
      </c>
      <c r="W50" s="97"/>
      <c r="X50" s="108">
        <v>650</v>
      </c>
      <c r="Y50" s="106">
        <f t="shared" si="13"/>
        <v>152.59</v>
      </c>
      <c r="Z50" s="106">
        <f t="shared" si="9"/>
        <v>114.8</v>
      </c>
      <c r="AA50" s="106">
        <f t="shared" si="10"/>
        <v>114.8</v>
      </c>
      <c r="AB50" s="106">
        <f t="shared" si="1"/>
        <v>81.209999999999994</v>
      </c>
      <c r="AC50" s="479">
        <f t="shared" si="14"/>
        <v>650</v>
      </c>
      <c r="AD50" s="478">
        <f t="shared" si="15"/>
        <v>114.8</v>
      </c>
    </row>
    <row r="51" spans="1:30">
      <c r="A51" s="330"/>
      <c r="B51" s="330"/>
      <c r="C51" s="330"/>
      <c r="D51" s="330"/>
      <c r="E51" s="83"/>
      <c r="F51" s="83"/>
      <c r="G51" s="83"/>
      <c r="H51" s="83"/>
      <c r="I51" s="83"/>
      <c r="J51" s="83"/>
      <c r="K51" s="83"/>
      <c r="L51" s="83"/>
      <c r="M51" s="83"/>
      <c r="N51" s="83"/>
      <c r="P51" s="108">
        <f t="shared" si="16"/>
        <v>760</v>
      </c>
      <c r="Q51" s="357">
        <f t="shared" si="17"/>
        <v>298.49</v>
      </c>
      <c r="R51" s="357">
        <f t="shared" si="4"/>
        <v>218.85</v>
      </c>
      <c r="S51" s="357">
        <f t="shared" si="5"/>
        <v>218.85</v>
      </c>
      <c r="T51" s="357">
        <f t="shared" si="6"/>
        <v>162.83000000000001</v>
      </c>
      <c r="U51" s="479">
        <f t="shared" si="18"/>
        <v>760</v>
      </c>
      <c r="V51" s="478">
        <f t="shared" si="19"/>
        <v>218.85</v>
      </c>
      <c r="W51" s="97"/>
      <c r="X51" s="108">
        <v>660</v>
      </c>
      <c r="Y51" s="106">
        <f t="shared" si="13"/>
        <v>148.58000000000001</v>
      </c>
      <c r="Z51" s="106">
        <f t="shared" si="9"/>
        <v>111.95</v>
      </c>
      <c r="AA51" s="106">
        <f t="shared" si="10"/>
        <v>111.95</v>
      </c>
      <c r="AB51" s="106">
        <f t="shared" si="1"/>
        <v>78.89</v>
      </c>
      <c r="AC51" s="479">
        <f t="shared" si="14"/>
        <v>660</v>
      </c>
      <c r="AD51" s="478">
        <f t="shared" si="15"/>
        <v>111.95</v>
      </c>
    </row>
    <row r="52" spans="1:30">
      <c r="A52" s="334"/>
      <c r="B52" s="334"/>
      <c r="C52" s="334"/>
      <c r="D52" s="334"/>
      <c r="E52" s="83"/>
      <c r="F52" s="83"/>
      <c r="G52" s="83"/>
      <c r="H52" s="83"/>
      <c r="I52" s="83"/>
      <c r="J52" s="83"/>
      <c r="K52" s="83"/>
      <c r="L52" s="83"/>
      <c r="M52" s="83"/>
      <c r="N52" s="83"/>
      <c r="P52" s="108">
        <f t="shared" si="16"/>
        <v>770</v>
      </c>
      <c r="Q52" s="357">
        <f t="shared" si="17"/>
        <v>293.20999999999998</v>
      </c>
      <c r="R52" s="357">
        <f t="shared" si="4"/>
        <v>215.01</v>
      </c>
      <c r="S52" s="357">
        <f t="shared" si="5"/>
        <v>215.01</v>
      </c>
      <c r="T52" s="357">
        <f t="shared" si="6"/>
        <v>159.75</v>
      </c>
      <c r="U52" s="479">
        <f t="shared" si="18"/>
        <v>770</v>
      </c>
      <c r="V52" s="478">
        <f t="shared" si="19"/>
        <v>215.01</v>
      </c>
      <c r="W52" s="97"/>
      <c r="X52" s="108">
        <v>670</v>
      </c>
      <c r="Y52" s="106">
        <f t="shared" si="13"/>
        <v>144.69999999999999</v>
      </c>
      <c r="Z52" s="106">
        <f t="shared" si="9"/>
        <v>109.18</v>
      </c>
      <c r="AA52" s="106">
        <f t="shared" si="10"/>
        <v>109.18</v>
      </c>
      <c r="AB52" s="106">
        <f t="shared" si="1"/>
        <v>76.64</v>
      </c>
      <c r="AC52" s="479">
        <f t="shared" si="14"/>
        <v>670</v>
      </c>
      <c r="AD52" s="478">
        <f t="shared" si="15"/>
        <v>109.18</v>
      </c>
    </row>
    <row r="53" spans="1:30">
      <c r="A53" s="336"/>
      <c r="B53" s="344"/>
      <c r="C53" s="344"/>
      <c r="D53" s="340"/>
      <c r="E53" s="83"/>
      <c r="F53" s="83"/>
      <c r="G53" s="83"/>
      <c r="H53" s="83"/>
      <c r="I53" s="83"/>
      <c r="J53" s="83"/>
      <c r="K53" s="83"/>
      <c r="L53" s="83"/>
      <c r="M53" s="83"/>
      <c r="N53" s="83"/>
      <c r="O53" s="24"/>
      <c r="P53" s="108">
        <f t="shared" si="16"/>
        <v>780</v>
      </c>
      <c r="Q53" s="357">
        <f t="shared" si="17"/>
        <v>288</v>
      </c>
      <c r="R53" s="357">
        <f t="shared" si="4"/>
        <v>211.23</v>
      </c>
      <c r="S53" s="357">
        <f t="shared" si="5"/>
        <v>211.23</v>
      </c>
      <c r="T53" s="357">
        <f t="shared" si="6"/>
        <v>156.71</v>
      </c>
      <c r="U53" s="479">
        <f t="shared" si="18"/>
        <v>780</v>
      </c>
      <c r="V53" s="478">
        <f t="shared" si="19"/>
        <v>211.23</v>
      </c>
      <c r="W53" s="97"/>
      <c r="X53" s="108">
        <v>680</v>
      </c>
      <c r="Y53" s="106">
        <f t="shared" si="13"/>
        <v>140.93</v>
      </c>
      <c r="Z53" s="106">
        <f t="shared" si="9"/>
        <v>106.49</v>
      </c>
      <c r="AA53" s="106">
        <f t="shared" si="10"/>
        <v>106.49</v>
      </c>
      <c r="AB53" s="106">
        <f t="shared" si="1"/>
        <v>74.45</v>
      </c>
      <c r="AC53" s="479">
        <f t="shared" si="14"/>
        <v>680</v>
      </c>
      <c r="AD53" s="478">
        <f t="shared" si="15"/>
        <v>106.49</v>
      </c>
    </row>
    <row r="54" spans="1:30">
      <c r="A54" s="336"/>
      <c r="B54" s="344"/>
      <c r="C54" s="344"/>
      <c r="D54" s="340"/>
      <c r="E54" s="83"/>
      <c r="F54" s="83"/>
      <c r="G54" s="83"/>
      <c r="H54" s="83"/>
      <c r="I54" s="83"/>
      <c r="J54" s="83"/>
      <c r="K54" s="83"/>
      <c r="L54" s="83"/>
      <c r="M54" s="83"/>
      <c r="N54" s="83"/>
      <c r="O54" s="24"/>
      <c r="P54" s="108">
        <f t="shared" si="16"/>
        <v>790</v>
      </c>
      <c r="Q54" s="357">
        <f t="shared" si="17"/>
        <v>282.87</v>
      </c>
      <c r="R54" s="357">
        <f t="shared" si="4"/>
        <v>207.51</v>
      </c>
      <c r="S54" s="357">
        <f t="shared" si="5"/>
        <v>207.51</v>
      </c>
      <c r="T54" s="357">
        <f t="shared" si="6"/>
        <v>153.72</v>
      </c>
      <c r="U54" s="479">
        <f t="shared" si="18"/>
        <v>790</v>
      </c>
      <c r="V54" s="478">
        <f t="shared" si="19"/>
        <v>207.51</v>
      </c>
      <c r="W54" s="97"/>
      <c r="X54" s="108">
        <v>690</v>
      </c>
      <c r="Y54" s="106">
        <f t="shared" si="13"/>
        <v>137.28</v>
      </c>
      <c r="Z54" s="106">
        <f t="shared" si="9"/>
        <v>103.88</v>
      </c>
      <c r="AA54" s="106">
        <f t="shared" si="10"/>
        <v>103.88</v>
      </c>
      <c r="AB54" s="106">
        <f t="shared" si="1"/>
        <v>72.3</v>
      </c>
      <c r="AC54" s="479">
        <f t="shared" si="14"/>
        <v>690</v>
      </c>
      <c r="AD54" s="478">
        <f t="shared" si="15"/>
        <v>103.88</v>
      </c>
    </row>
    <row r="55" spans="1:30">
      <c r="A55" s="336"/>
      <c r="B55" s="344"/>
      <c r="C55" s="344"/>
      <c r="D55" s="340"/>
      <c r="E55" s="83"/>
      <c r="F55" s="83"/>
      <c r="G55" s="83"/>
      <c r="H55" s="83"/>
      <c r="I55" s="83"/>
      <c r="J55" s="83"/>
      <c r="K55" s="83"/>
      <c r="L55" s="83"/>
      <c r="M55" s="83"/>
      <c r="N55" s="83"/>
      <c r="O55" s="24"/>
      <c r="P55" s="108">
        <f t="shared" si="16"/>
        <v>800</v>
      </c>
      <c r="Q55" s="357">
        <f t="shared" si="17"/>
        <v>277.81</v>
      </c>
      <c r="R55" s="357">
        <f t="shared" si="4"/>
        <v>203.85</v>
      </c>
      <c r="S55" s="357">
        <f t="shared" si="5"/>
        <v>203.85</v>
      </c>
      <c r="T55" s="357">
        <f t="shared" si="6"/>
        <v>150.77000000000001</v>
      </c>
      <c r="U55" s="479">
        <f t="shared" si="18"/>
        <v>800</v>
      </c>
      <c r="V55" s="478">
        <f t="shared" si="19"/>
        <v>203.85</v>
      </c>
      <c r="W55" s="97"/>
      <c r="X55" s="108">
        <v>700</v>
      </c>
      <c r="Y55" s="106">
        <f t="shared" si="13"/>
        <v>133.75</v>
      </c>
      <c r="Z55" s="106">
        <f t="shared" si="9"/>
        <v>101.35</v>
      </c>
      <c r="AA55" s="106">
        <f t="shared" si="10"/>
        <v>101.35</v>
      </c>
      <c r="AB55" s="106">
        <f t="shared" si="1"/>
        <v>70.209999999999994</v>
      </c>
      <c r="AC55" s="479">
        <f t="shared" si="14"/>
        <v>700</v>
      </c>
      <c r="AD55" s="478">
        <f t="shared" si="15"/>
        <v>101.35</v>
      </c>
    </row>
    <row r="56" spans="1:30">
      <c r="A56" s="336"/>
      <c r="B56" s="344"/>
      <c r="C56" s="344"/>
      <c r="D56" s="340"/>
      <c r="E56" s="83"/>
      <c r="F56" s="83"/>
      <c r="G56" s="83"/>
      <c r="H56" s="83"/>
      <c r="I56" s="83"/>
      <c r="J56" s="83"/>
      <c r="K56" s="83"/>
      <c r="L56" s="83"/>
      <c r="M56" s="83"/>
      <c r="N56" s="83"/>
      <c r="O56" s="24"/>
      <c r="P56" s="108">
        <f t="shared" si="16"/>
        <v>810</v>
      </c>
      <c r="Q56" s="357">
        <f t="shared" si="17"/>
        <v>272.82</v>
      </c>
      <c r="R56" s="357">
        <f t="shared" si="4"/>
        <v>200.25</v>
      </c>
      <c r="S56" s="357">
        <f t="shared" si="5"/>
        <v>200.25</v>
      </c>
      <c r="T56" s="357">
        <f t="shared" si="6"/>
        <v>147.86000000000001</v>
      </c>
      <c r="U56" s="479">
        <f t="shared" si="18"/>
        <v>810</v>
      </c>
      <c r="V56" s="478">
        <f t="shared" si="19"/>
        <v>200.25</v>
      </c>
      <c r="W56" s="97"/>
      <c r="X56" s="108">
        <v>710</v>
      </c>
      <c r="Y56" s="106">
        <f t="shared" si="13"/>
        <v>130.32</v>
      </c>
      <c r="Z56" s="106">
        <f t="shared" si="9"/>
        <v>98.89</v>
      </c>
      <c r="AA56" s="106">
        <f t="shared" si="10"/>
        <v>98.89</v>
      </c>
      <c r="AB56" s="106">
        <f t="shared" si="1"/>
        <v>68.150000000000006</v>
      </c>
      <c r="AC56" s="479">
        <f t="shared" si="14"/>
        <v>710</v>
      </c>
      <c r="AD56" s="478">
        <f t="shared" si="15"/>
        <v>98.89</v>
      </c>
    </row>
    <row r="57" spans="1:30">
      <c r="A57" s="336"/>
      <c r="B57" s="344"/>
      <c r="C57" s="344"/>
      <c r="D57" s="340"/>
      <c r="E57" s="83"/>
      <c r="F57" s="83"/>
      <c r="G57" s="83"/>
      <c r="H57" s="83"/>
      <c r="I57" s="83"/>
      <c r="J57" s="83"/>
      <c r="K57" s="83"/>
      <c r="L57" s="83"/>
      <c r="M57" s="83"/>
      <c r="N57" s="83"/>
      <c r="O57" s="24"/>
      <c r="P57" s="108">
        <f t="shared" si="16"/>
        <v>820</v>
      </c>
      <c r="Q57" s="357">
        <f t="shared" si="17"/>
        <v>267.91000000000003</v>
      </c>
      <c r="R57" s="357">
        <f t="shared" si="4"/>
        <v>196.71</v>
      </c>
      <c r="S57" s="357">
        <f t="shared" si="5"/>
        <v>196.71</v>
      </c>
      <c r="T57" s="357">
        <f t="shared" si="6"/>
        <v>145</v>
      </c>
      <c r="U57" s="479">
        <f t="shared" si="18"/>
        <v>820</v>
      </c>
      <c r="V57" s="478">
        <f t="shared" si="19"/>
        <v>196.71</v>
      </c>
      <c r="W57" s="97"/>
      <c r="X57" s="108">
        <v>720</v>
      </c>
      <c r="Y57" s="106">
        <f t="shared" si="13"/>
        <v>127.01</v>
      </c>
      <c r="Z57" s="106">
        <f t="shared" si="9"/>
        <v>96.52</v>
      </c>
      <c r="AA57" s="106">
        <f t="shared" si="10"/>
        <v>96.52</v>
      </c>
      <c r="AB57" s="106">
        <f t="shared" si="1"/>
        <v>66.12</v>
      </c>
      <c r="AC57" s="479">
        <f t="shared" si="14"/>
        <v>720</v>
      </c>
      <c r="AD57" s="478">
        <f t="shared" si="15"/>
        <v>96.52</v>
      </c>
    </row>
    <row r="58" spans="1:30">
      <c r="A58" s="336"/>
      <c r="B58" s="344"/>
      <c r="C58" s="344"/>
      <c r="D58" s="340"/>
      <c r="E58" s="83"/>
      <c r="F58" s="83"/>
      <c r="G58" s="83"/>
      <c r="H58" s="83"/>
      <c r="I58" s="83"/>
      <c r="J58" s="83"/>
      <c r="K58" s="83"/>
      <c r="L58" s="83"/>
      <c r="M58" s="83"/>
      <c r="N58" s="83"/>
      <c r="O58" s="24"/>
      <c r="P58" s="108">
        <f t="shared" si="16"/>
        <v>830</v>
      </c>
      <c r="Q58" s="357">
        <f t="shared" si="17"/>
        <v>263.07</v>
      </c>
      <c r="R58" s="357">
        <f t="shared" si="4"/>
        <v>193.23</v>
      </c>
      <c r="S58" s="357">
        <f t="shared" si="5"/>
        <v>193.23</v>
      </c>
      <c r="T58" s="357">
        <f t="shared" si="6"/>
        <v>142.18</v>
      </c>
      <c r="U58" s="479">
        <f t="shared" si="18"/>
        <v>830</v>
      </c>
      <c r="V58" s="478">
        <f t="shared" si="19"/>
        <v>193.23</v>
      </c>
      <c r="W58" s="97"/>
      <c r="X58" s="108">
        <v>730</v>
      </c>
      <c r="Y58" s="106">
        <f t="shared" si="13"/>
        <v>123.8</v>
      </c>
      <c r="Z58" s="106">
        <f t="shared" si="9"/>
        <v>94.22</v>
      </c>
      <c r="AA58" s="106">
        <f t="shared" si="10"/>
        <v>94.22</v>
      </c>
      <c r="AB58" s="106">
        <f t="shared" si="1"/>
        <v>64.13</v>
      </c>
      <c r="AC58" s="479">
        <f t="shared" si="14"/>
        <v>730</v>
      </c>
      <c r="AD58" s="478">
        <f t="shared" si="15"/>
        <v>94.22</v>
      </c>
    </row>
    <row r="59" spans="1:30">
      <c r="A59" s="336"/>
      <c r="B59" s="344"/>
      <c r="C59" s="344"/>
      <c r="D59" s="340"/>
      <c r="E59" s="83"/>
      <c r="F59" s="83"/>
      <c r="G59" s="83"/>
      <c r="H59" s="83"/>
      <c r="I59" s="83"/>
      <c r="J59" s="83"/>
      <c r="K59" s="83"/>
      <c r="L59" s="83"/>
      <c r="M59" s="83"/>
      <c r="N59" s="83"/>
      <c r="O59" s="24"/>
      <c r="P59" s="108">
        <f t="shared" si="16"/>
        <v>840</v>
      </c>
      <c r="Q59" s="357">
        <f t="shared" si="17"/>
        <v>258.31</v>
      </c>
      <c r="R59" s="357">
        <f t="shared" si="4"/>
        <v>189.8</v>
      </c>
      <c r="S59" s="357">
        <f t="shared" si="5"/>
        <v>189.8</v>
      </c>
      <c r="T59" s="357">
        <f t="shared" si="6"/>
        <v>139.4</v>
      </c>
      <c r="U59" s="479">
        <f t="shared" si="18"/>
        <v>840</v>
      </c>
      <c r="V59" s="478">
        <f t="shared" si="19"/>
        <v>189.8</v>
      </c>
      <c r="W59" s="97"/>
      <c r="X59" s="108">
        <v>740</v>
      </c>
      <c r="Y59" s="106">
        <f t="shared" si="13"/>
        <v>120.69</v>
      </c>
      <c r="Z59" s="106">
        <f t="shared" si="9"/>
        <v>92</v>
      </c>
      <c r="AA59" s="106">
        <f t="shared" si="10"/>
        <v>92</v>
      </c>
      <c r="AB59" s="106">
        <f t="shared" si="1"/>
        <v>62.15</v>
      </c>
      <c r="AC59" s="479">
        <f t="shared" si="14"/>
        <v>740</v>
      </c>
      <c r="AD59" s="478">
        <f t="shared" si="15"/>
        <v>92</v>
      </c>
    </row>
    <row r="60" spans="1:30">
      <c r="A60" s="336"/>
      <c r="B60" s="344"/>
      <c r="C60" s="344"/>
      <c r="D60" s="340"/>
      <c r="E60" s="83"/>
      <c r="F60" s="83"/>
      <c r="G60" s="83"/>
      <c r="H60" s="83"/>
      <c r="I60" s="83"/>
      <c r="J60" s="83"/>
      <c r="K60" s="83"/>
      <c r="L60" s="83"/>
      <c r="M60" s="83"/>
      <c r="N60" s="83"/>
      <c r="O60" s="24"/>
      <c r="P60" s="108">
        <f t="shared" si="16"/>
        <v>850</v>
      </c>
      <c r="Q60" s="357">
        <f t="shared" si="17"/>
        <v>253.63</v>
      </c>
      <c r="R60" s="357">
        <f t="shared" si="4"/>
        <v>186.44</v>
      </c>
      <c r="S60" s="357">
        <f t="shared" si="5"/>
        <v>186.44</v>
      </c>
      <c r="T60" s="357">
        <f t="shared" si="6"/>
        <v>136.66999999999999</v>
      </c>
      <c r="U60" s="479">
        <f t="shared" si="18"/>
        <v>850</v>
      </c>
      <c r="V60" s="478">
        <f t="shared" si="19"/>
        <v>186.44</v>
      </c>
      <c r="W60" s="97"/>
      <c r="X60" s="108">
        <v>750</v>
      </c>
      <c r="Y60" s="106">
        <f t="shared" si="13"/>
        <v>117.67</v>
      </c>
      <c r="Z60" s="106">
        <f t="shared" si="9"/>
        <v>89.85</v>
      </c>
      <c r="AA60" s="106">
        <f t="shared" si="10"/>
        <v>89.85</v>
      </c>
      <c r="AB60" s="106">
        <f t="shared" si="1"/>
        <v>60.18</v>
      </c>
      <c r="AC60" s="479">
        <f t="shared" si="14"/>
        <v>750</v>
      </c>
      <c r="AD60" s="478">
        <f t="shared" si="15"/>
        <v>89.85</v>
      </c>
    </row>
    <row r="61" spans="1:30">
      <c r="A61" s="336"/>
      <c r="B61" s="344"/>
      <c r="C61" s="344"/>
      <c r="D61" s="340"/>
      <c r="E61" s="83"/>
      <c r="F61" s="83"/>
      <c r="G61" s="83"/>
      <c r="H61" s="83"/>
      <c r="I61" s="83"/>
      <c r="J61" s="83"/>
      <c r="K61" s="83"/>
      <c r="L61" s="83"/>
      <c r="M61" s="83"/>
      <c r="N61" s="83"/>
      <c r="O61" s="24"/>
      <c r="P61" s="108">
        <f t="shared" si="16"/>
        <v>860</v>
      </c>
      <c r="Q61" s="357">
        <f t="shared" si="17"/>
        <v>249.03</v>
      </c>
      <c r="R61" s="357">
        <f t="shared" si="4"/>
        <v>183.14</v>
      </c>
      <c r="S61" s="357">
        <f t="shared" si="5"/>
        <v>183.14</v>
      </c>
      <c r="T61" s="357">
        <f t="shared" si="6"/>
        <v>133.97999999999999</v>
      </c>
      <c r="U61" s="479">
        <f t="shared" si="18"/>
        <v>860</v>
      </c>
      <c r="V61" s="478">
        <f t="shared" si="19"/>
        <v>183.14</v>
      </c>
      <c r="W61" s="97"/>
      <c r="X61" s="108">
        <v>760</v>
      </c>
      <c r="Y61" s="106">
        <f t="shared" si="13"/>
        <v>114.74</v>
      </c>
      <c r="Z61" s="106">
        <f t="shared" si="9"/>
        <v>87.78</v>
      </c>
      <c r="AA61" s="106">
        <f t="shared" si="10"/>
        <v>87.78</v>
      </c>
      <c r="AB61" s="106">
        <f t="shared" si="1"/>
        <v>60</v>
      </c>
      <c r="AC61" s="479">
        <f t="shared" si="14"/>
        <v>760</v>
      </c>
      <c r="AD61" s="478">
        <f t="shared" si="15"/>
        <v>87.78</v>
      </c>
    </row>
    <row r="62" spans="1:30">
      <c r="A62" s="336"/>
      <c r="B62" s="344"/>
      <c r="C62" s="344"/>
      <c r="D62" s="340"/>
      <c r="E62" s="83"/>
      <c r="F62" s="83"/>
      <c r="G62" s="83"/>
      <c r="H62" s="83"/>
      <c r="I62" s="83"/>
      <c r="J62" s="83"/>
      <c r="K62" s="83"/>
      <c r="L62" s="83"/>
      <c r="M62" s="83"/>
      <c r="N62" s="83"/>
      <c r="O62" s="24"/>
      <c r="P62" s="108">
        <f t="shared" si="16"/>
        <v>870</v>
      </c>
      <c r="Q62" s="357">
        <f t="shared" si="17"/>
        <v>244.51</v>
      </c>
      <c r="R62" s="357">
        <f t="shared" si="4"/>
        <v>179.89</v>
      </c>
      <c r="S62" s="357">
        <f t="shared" si="5"/>
        <v>179.89</v>
      </c>
      <c r="T62" s="357">
        <f t="shared" si="6"/>
        <v>131.34</v>
      </c>
      <c r="U62" s="479">
        <f t="shared" si="18"/>
        <v>870</v>
      </c>
      <c r="V62" s="478">
        <f t="shared" si="19"/>
        <v>179.89</v>
      </c>
      <c r="W62" s="97"/>
      <c r="X62" s="108">
        <v>770</v>
      </c>
      <c r="Y62" s="106">
        <f t="shared" si="13"/>
        <v>111.9</v>
      </c>
      <c r="Z62" s="106">
        <f t="shared" si="9"/>
        <v>85.78</v>
      </c>
      <c r="AA62" s="106">
        <f t="shared" si="10"/>
        <v>85.78</v>
      </c>
      <c r="AB62" s="106">
        <f t="shared" si="1"/>
        <v>60</v>
      </c>
      <c r="AC62" s="479">
        <f t="shared" si="14"/>
        <v>770</v>
      </c>
      <c r="AD62" s="478">
        <f t="shared" si="15"/>
        <v>85.78</v>
      </c>
    </row>
    <row r="63" spans="1:30">
      <c r="A63" s="336"/>
      <c r="B63" s="344"/>
      <c r="C63" s="344"/>
      <c r="D63" s="340"/>
      <c r="E63" s="83"/>
      <c r="F63" s="83"/>
      <c r="G63" s="83"/>
      <c r="H63" s="83"/>
      <c r="I63" s="83"/>
      <c r="J63" s="83"/>
      <c r="K63" s="83"/>
      <c r="L63" s="83"/>
      <c r="M63" s="83"/>
      <c r="N63" s="83"/>
      <c r="O63" s="24"/>
      <c r="P63" s="108">
        <f t="shared" si="16"/>
        <v>880</v>
      </c>
      <c r="Q63" s="357">
        <f t="shared" si="17"/>
        <v>240.07</v>
      </c>
      <c r="R63" s="357">
        <f t="shared" si="4"/>
        <v>176.71</v>
      </c>
      <c r="S63" s="357">
        <f t="shared" si="5"/>
        <v>176.71</v>
      </c>
      <c r="T63" s="357">
        <f t="shared" si="6"/>
        <v>128.74</v>
      </c>
      <c r="U63" s="479">
        <f t="shared" si="18"/>
        <v>880</v>
      </c>
      <c r="V63" s="478">
        <f t="shared" si="19"/>
        <v>176.71</v>
      </c>
      <c r="W63" s="97"/>
      <c r="X63" s="108">
        <v>780</v>
      </c>
      <c r="Y63" s="106">
        <f t="shared" si="13"/>
        <v>109.13</v>
      </c>
      <c r="Z63" s="106">
        <f t="shared" si="9"/>
        <v>83.85</v>
      </c>
      <c r="AA63" s="106">
        <f t="shared" si="10"/>
        <v>83.85</v>
      </c>
      <c r="AB63" s="106">
        <f t="shared" si="1"/>
        <v>60</v>
      </c>
      <c r="AC63" s="479">
        <f t="shared" si="14"/>
        <v>780</v>
      </c>
      <c r="AD63" s="478">
        <f t="shared" si="15"/>
        <v>83.85</v>
      </c>
    </row>
    <row r="64" spans="1:30">
      <c r="A64" s="336"/>
      <c r="B64" s="344"/>
      <c r="C64" s="344"/>
      <c r="D64" s="340"/>
      <c r="E64" s="83"/>
      <c r="F64" s="83"/>
      <c r="G64" s="83"/>
      <c r="H64" s="83"/>
      <c r="I64" s="83"/>
      <c r="J64" s="83"/>
      <c r="K64" s="83"/>
      <c r="L64" s="83"/>
      <c r="M64" s="83"/>
      <c r="N64" s="83"/>
      <c r="O64" s="24"/>
      <c r="P64" s="108">
        <f t="shared" si="16"/>
        <v>890</v>
      </c>
      <c r="Q64" s="357">
        <f t="shared" si="17"/>
        <v>235.71</v>
      </c>
      <c r="R64" s="357">
        <f t="shared" si="4"/>
        <v>173.58</v>
      </c>
      <c r="S64" s="357">
        <f t="shared" si="5"/>
        <v>173.58</v>
      </c>
      <c r="T64" s="357">
        <f t="shared" si="6"/>
        <v>126.19</v>
      </c>
      <c r="U64" s="479">
        <f t="shared" si="18"/>
        <v>890</v>
      </c>
      <c r="V64" s="478">
        <f t="shared" si="19"/>
        <v>173.58</v>
      </c>
      <c r="W64" s="97"/>
      <c r="X64" s="108">
        <v>790</v>
      </c>
      <c r="Y64" s="106">
        <f t="shared" si="13"/>
        <v>106.43</v>
      </c>
      <c r="Z64" s="106">
        <f t="shared" si="9"/>
        <v>81.98</v>
      </c>
      <c r="AA64" s="106">
        <f t="shared" si="10"/>
        <v>81.98</v>
      </c>
      <c r="AB64" s="106">
        <f t="shared" si="1"/>
        <v>60</v>
      </c>
      <c r="AC64" s="479">
        <f t="shared" si="14"/>
        <v>790</v>
      </c>
      <c r="AD64" s="478">
        <f t="shared" si="15"/>
        <v>81.98</v>
      </c>
    </row>
    <row r="65" spans="1:30">
      <c r="A65" s="336"/>
      <c r="B65" s="344"/>
      <c r="C65" s="344"/>
      <c r="D65" s="340"/>
      <c r="E65" s="83"/>
      <c r="F65" s="83"/>
      <c r="G65" s="83"/>
      <c r="H65" s="83"/>
      <c r="I65" s="83"/>
      <c r="J65" s="83"/>
      <c r="K65" s="83"/>
      <c r="L65" s="83"/>
      <c r="M65" s="83"/>
      <c r="N65" s="83"/>
      <c r="O65" s="24"/>
      <c r="P65" s="108">
        <f t="shared" si="16"/>
        <v>900</v>
      </c>
      <c r="Q65" s="357">
        <f t="shared" si="17"/>
        <v>231.43</v>
      </c>
      <c r="R65" s="357">
        <f t="shared" si="4"/>
        <v>170.51</v>
      </c>
      <c r="S65" s="357">
        <f t="shared" si="5"/>
        <v>170.51</v>
      </c>
      <c r="T65" s="357">
        <f t="shared" si="6"/>
        <v>123.69</v>
      </c>
      <c r="U65" s="479">
        <f t="shared" si="18"/>
        <v>900</v>
      </c>
      <c r="V65" s="478">
        <f t="shared" si="19"/>
        <v>170.51</v>
      </c>
      <c r="W65" s="97"/>
      <c r="X65" s="108">
        <v>800</v>
      </c>
      <c r="Y65" s="106">
        <f t="shared" si="13"/>
        <v>103.8</v>
      </c>
      <c r="Z65" s="106">
        <f t="shared" si="9"/>
        <v>80.19</v>
      </c>
      <c r="AA65" s="106">
        <f t="shared" si="10"/>
        <v>80.19</v>
      </c>
      <c r="AB65" s="106">
        <f t="shared" si="1"/>
        <v>60</v>
      </c>
      <c r="AC65" s="479">
        <f t="shared" si="14"/>
        <v>800</v>
      </c>
      <c r="AD65" s="478">
        <f t="shared" si="15"/>
        <v>80.19</v>
      </c>
    </row>
    <row r="66" spans="1:30">
      <c r="A66" s="336"/>
      <c r="B66" s="344"/>
      <c r="C66" s="344"/>
      <c r="D66" s="340"/>
      <c r="E66" s="83"/>
      <c r="F66" s="83"/>
      <c r="G66" s="83"/>
      <c r="H66" s="83"/>
      <c r="I66" s="83"/>
      <c r="J66" s="83"/>
      <c r="K66" s="83"/>
      <c r="L66" s="83"/>
      <c r="M66" s="83"/>
      <c r="N66" s="83"/>
      <c r="O66" s="24"/>
      <c r="P66" s="108">
        <f t="shared" si="16"/>
        <v>910</v>
      </c>
      <c r="Q66" s="357">
        <f t="shared" si="17"/>
        <v>227.22</v>
      </c>
      <c r="R66" s="357">
        <f t="shared" si="4"/>
        <v>167.5</v>
      </c>
      <c r="S66" s="357">
        <f t="shared" si="5"/>
        <v>167.5</v>
      </c>
      <c r="T66" s="357">
        <f t="shared" si="6"/>
        <v>121.23</v>
      </c>
      <c r="U66" s="479">
        <f t="shared" si="18"/>
        <v>910</v>
      </c>
      <c r="V66" s="478">
        <f t="shared" si="19"/>
        <v>167.5</v>
      </c>
      <c r="W66" s="97"/>
      <c r="X66" s="108">
        <v>810</v>
      </c>
      <c r="Y66" s="106">
        <f t="shared" si="13"/>
        <v>101.23</v>
      </c>
      <c r="Z66" s="106">
        <f t="shared" si="9"/>
        <v>80</v>
      </c>
      <c r="AA66" s="106">
        <f t="shared" si="10"/>
        <v>78.459999999999994</v>
      </c>
      <c r="AB66" s="106">
        <f t="shared" si="1"/>
        <v>60</v>
      </c>
      <c r="AC66" s="479">
        <f t="shared" si="14"/>
        <v>810</v>
      </c>
      <c r="AD66" s="478">
        <f t="shared" si="15"/>
        <v>78.459999999999994</v>
      </c>
    </row>
    <row r="67" spans="1:30">
      <c r="A67" s="336"/>
      <c r="B67" s="344"/>
      <c r="C67" s="344"/>
      <c r="D67" s="340"/>
      <c r="E67" s="83"/>
      <c r="F67" s="83"/>
      <c r="G67" s="83"/>
      <c r="H67" s="83"/>
      <c r="I67" s="83"/>
      <c r="J67" s="83"/>
      <c r="K67" s="83"/>
      <c r="L67" s="83"/>
      <c r="M67" s="83"/>
      <c r="N67" s="83"/>
      <c r="O67" s="24"/>
      <c r="P67" s="108">
        <f t="shared" si="16"/>
        <v>920</v>
      </c>
      <c r="Q67" s="357">
        <f t="shared" si="17"/>
        <v>223.1</v>
      </c>
      <c r="R67" s="357">
        <f t="shared" si="4"/>
        <v>164.54</v>
      </c>
      <c r="S67" s="357">
        <f t="shared" si="5"/>
        <v>164.54</v>
      </c>
      <c r="T67" s="357">
        <f t="shared" si="6"/>
        <v>118.83</v>
      </c>
      <c r="U67" s="479">
        <f t="shared" si="18"/>
        <v>920</v>
      </c>
      <c r="V67" s="478">
        <f t="shared" si="19"/>
        <v>164.54</v>
      </c>
      <c r="W67" s="97"/>
      <c r="X67" s="108">
        <v>820</v>
      </c>
      <c r="Y67" s="106">
        <f t="shared" si="13"/>
        <v>98.7</v>
      </c>
      <c r="Z67" s="106">
        <f t="shared" si="9"/>
        <v>80</v>
      </c>
      <c r="AA67" s="106">
        <f t="shared" si="10"/>
        <v>76.8</v>
      </c>
      <c r="AB67" s="106">
        <f t="shared" si="1"/>
        <v>60</v>
      </c>
      <c r="AC67" s="479">
        <f t="shared" si="14"/>
        <v>820</v>
      </c>
      <c r="AD67" s="478">
        <f t="shared" si="15"/>
        <v>76.8</v>
      </c>
    </row>
    <row r="68" spans="1:30">
      <c r="A68" s="336"/>
      <c r="B68" s="344"/>
      <c r="C68" s="344"/>
      <c r="D68" s="340"/>
      <c r="E68" s="83"/>
      <c r="F68" s="83"/>
      <c r="G68" s="83"/>
      <c r="H68" s="83"/>
      <c r="I68" s="83"/>
      <c r="J68" s="83"/>
      <c r="K68" s="83"/>
      <c r="L68" s="83"/>
      <c r="M68" s="83"/>
      <c r="N68" s="83"/>
      <c r="O68" s="24"/>
      <c r="P68" s="108">
        <f t="shared" si="16"/>
        <v>930</v>
      </c>
      <c r="Q68" s="357">
        <f t="shared" si="17"/>
        <v>219.06</v>
      </c>
      <c r="R68" s="357">
        <f t="shared" si="4"/>
        <v>161.65</v>
      </c>
      <c r="S68" s="357">
        <f t="shared" si="5"/>
        <v>161.65</v>
      </c>
      <c r="T68" s="357">
        <f t="shared" si="6"/>
        <v>116.47</v>
      </c>
      <c r="U68" s="479">
        <f t="shared" si="18"/>
        <v>930</v>
      </c>
      <c r="V68" s="478">
        <f t="shared" si="19"/>
        <v>161.65</v>
      </c>
      <c r="W68" s="97"/>
      <c r="X68" s="108">
        <v>830</v>
      </c>
      <c r="Y68" s="106">
        <f t="shared" si="13"/>
        <v>96.21</v>
      </c>
      <c r="Z68" s="106">
        <f t="shared" si="9"/>
        <v>80</v>
      </c>
      <c r="AA68" s="106">
        <f t="shared" si="10"/>
        <v>75.2</v>
      </c>
      <c r="AB68" s="106">
        <f t="shared" si="1"/>
        <v>60</v>
      </c>
      <c r="AC68" s="479">
        <f t="shared" si="14"/>
        <v>830</v>
      </c>
      <c r="AD68" s="478">
        <f t="shared" si="15"/>
        <v>75.2</v>
      </c>
    </row>
    <row r="69" spans="1:30">
      <c r="A69" s="336"/>
      <c r="B69" s="344"/>
      <c r="C69" s="344"/>
      <c r="D69" s="340"/>
      <c r="E69" s="83"/>
      <c r="F69" s="83"/>
      <c r="G69" s="83"/>
      <c r="H69" s="83"/>
      <c r="I69" s="83"/>
      <c r="J69" s="83"/>
      <c r="K69" s="83"/>
      <c r="L69" s="83"/>
      <c r="M69" s="83"/>
      <c r="N69" s="83"/>
      <c r="O69" s="24"/>
      <c r="P69" s="108">
        <f t="shared" si="16"/>
        <v>940</v>
      </c>
      <c r="Q69" s="357">
        <f t="shared" si="17"/>
        <v>215.1</v>
      </c>
      <c r="R69" s="357">
        <f t="shared" si="4"/>
        <v>158.81</v>
      </c>
      <c r="S69" s="357">
        <f t="shared" si="5"/>
        <v>158.81</v>
      </c>
      <c r="T69" s="357">
        <f t="shared" si="6"/>
        <v>114.16</v>
      </c>
      <c r="U69" s="479">
        <f t="shared" si="18"/>
        <v>940</v>
      </c>
      <c r="V69" s="478">
        <f t="shared" si="19"/>
        <v>158.81</v>
      </c>
      <c r="W69" s="97"/>
      <c r="X69" s="108">
        <v>840</v>
      </c>
      <c r="Y69" s="106">
        <f t="shared" si="13"/>
        <v>93.76</v>
      </c>
      <c r="Z69" s="106">
        <f t="shared" si="9"/>
        <v>80</v>
      </c>
      <c r="AA69" s="106">
        <f t="shared" si="10"/>
        <v>73.650000000000006</v>
      </c>
      <c r="AB69" s="106">
        <f t="shared" si="1"/>
        <v>60</v>
      </c>
      <c r="AC69" s="479">
        <f t="shared" si="14"/>
        <v>840</v>
      </c>
      <c r="AD69" s="478">
        <f t="shared" si="15"/>
        <v>73.650000000000006</v>
      </c>
    </row>
    <row r="70" spans="1:30">
      <c r="A70" s="336"/>
      <c r="B70" s="344"/>
      <c r="C70" s="344"/>
      <c r="D70" s="340"/>
      <c r="E70" s="83"/>
      <c r="F70" s="83"/>
      <c r="G70" s="83"/>
      <c r="H70" s="83"/>
      <c r="I70" s="83"/>
      <c r="J70" s="83"/>
      <c r="K70" s="83"/>
      <c r="L70" s="83"/>
      <c r="M70" s="83"/>
      <c r="N70" s="83"/>
      <c r="O70" s="24"/>
      <c r="P70" s="108">
        <f t="shared" si="16"/>
        <v>950</v>
      </c>
      <c r="Q70" s="357">
        <f t="shared" si="17"/>
        <v>211.22</v>
      </c>
      <c r="R70" s="357">
        <f t="shared" si="4"/>
        <v>156.02000000000001</v>
      </c>
      <c r="S70" s="357">
        <f t="shared" si="5"/>
        <v>156.02000000000001</v>
      </c>
      <c r="T70" s="357">
        <f t="shared" si="6"/>
        <v>111.91</v>
      </c>
      <c r="U70" s="479">
        <f t="shared" si="18"/>
        <v>950</v>
      </c>
      <c r="V70" s="478">
        <f t="shared" si="19"/>
        <v>156.02000000000001</v>
      </c>
      <c r="W70" s="97"/>
      <c r="X70" s="108">
        <v>850</v>
      </c>
      <c r="Y70" s="106">
        <f t="shared" si="13"/>
        <v>91.33</v>
      </c>
      <c r="Z70" s="106">
        <f t="shared" si="9"/>
        <v>80</v>
      </c>
      <c r="AA70" s="106">
        <f t="shared" si="10"/>
        <v>72.17</v>
      </c>
      <c r="AB70" s="106">
        <f t="shared" si="1"/>
        <v>60</v>
      </c>
      <c r="AC70" s="479">
        <f t="shared" si="14"/>
        <v>850</v>
      </c>
      <c r="AD70" s="478">
        <f t="shared" si="15"/>
        <v>72.17</v>
      </c>
    </row>
    <row r="71" spans="1:30">
      <c r="A71" s="336"/>
      <c r="B71" s="344"/>
      <c r="C71" s="344"/>
      <c r="D71" s="340"/>
      <c r="E71" s="83"/>
      <c r="F71" s="83"/>
      <c r="G71" s="83"/>
      <c r="H71" s="83"/>
      <c r="I71" s="83"/>
      <c r="J71" s="83"/>
      <c r="K71" s="83"/>
      <c r="L71" s="83"/>
      <c r="M71" s="83"/>
      <c r="N71" s="83"/>
      <c r="O71" s="24"/>
      <c r="P71" s="108">
        <f t="shared" si="16"/>
        <v>960</v>
      </c>
      <c r="Q71" s="357">
        <f t="shared" si="17"/>
        <v>207.42</v>
      </c>
      <c r="R71" s="357">
        <f t="shared" si="4"/>
        <v>153.30000000000001</v>
      </c>
      <c r="S71" s="357">
        <f t="shared" si="5"/>
        <v>153.30000000000001</v>
      </c>
      <c r="T71" s="357">
        <f t="shared" si="6"/>
        <v>109.71</v>
      </c>
      <c r="U71" s="479">
        <f t="shared" si="18"/>
        <v>960</v>
      </c>
      <c r="V71" s="478">
        <f t="shared" si="19"/>
        <v>153.30000000000001</v>
      </c>
      <c r="W71" s="97"/>
      <c r="X71" s="108">
        <v>860</v>
      </c>
      <c r="Y71" s="106">
        <f t="shared" si="13"/>
        <v>88.91</v>
      </c>
      <c r="Z71" s="106">
        <f t="shared" si="9"/>
        <v>80</v>
      </c>
      <c r="AA71" s="106">
        <f t="shared" si="10"/>
        <v>70.739999999999995</v>
      </c>
      <c r="AB71" s="106">
        <f t="shared" si="1"/>
        <v>60</v>
      </c>
      <c r="AC71" s="479">
        <f t="shared" si="14"/>
        <v>860</v>
      </c>
      <c r="AD71" s="478">
        <f t="shared" si="15"/>
        <v>70.739999999999995</v>
      </c>
    </row>
    <row r="72" spans="1:30">
      <c r="A72" s="336"/>
      <c r="B72" s="344"/>
      <c r="C72" s="344"/>
      <c r="D72" s="340"/>
      <c r="E72" s="83"/>
      <c r="F72" s="83"/>
      <c r="G72" s="83"/>
      <c r="H72" s="83"/>
      <c r="I72" s="83"/>
      <c r="J72" s="83"/>
      <c r="K72" s="83"/>
      <c r="L72" s="83"/>
      <c r="M72" s="83"/>
      <c r="N72" s="83"/>
      <c r="O72" s="24"/>
      <c r="P72" s="108">
        <f t="shared" si="16"/>
        <v>970</v>
      </c>
      <c r="Q72" s="357">
        <f t="shared" si="17"/>
        <v>203.69</v>
      </c>
      <c r="R72" s="357">
        <f t="shared" si="4"/>
        <v>150.62</v>
      </c>
      <c r="S72" s="357">
        <f t="shared" si="5"/>
        <v>150.62</v>
      </c>
      <c r="T72" s="357">
        <f t="shared" si="6"/>
        <v>107.57</v>
      </c>
      <c r="U72" s="479">
        <f t="shared" si="18"/>
        <v>970</v>
      </c>
      <c r="V72" s="478">
        <f t="shared" si="19"/>
        <v>150.62</v>
      </c>
      <c r="W72" s="97"/>
      <c r="X72" s="108">
        <v>870</v>
      </c>
      <c r="Y72" s="106">
        <f t="shared" si="13"/>
        <v>86.49</v>
      </c>
      <c r="Z72" s="106">
        <f t="shared" si="9"/>
        <v>80</v>
      </c>
      <c r="AA72" s="106">
        <f t="shared" si="10"/>
        <v>69.36</v>
      </c>
      <c r="AB72" s="106">
        <f t="shared" si="1"/>
        <v>60</v>
      </c>
      <c r="AC72" s="479">
        <f t="shared" si="14"/>
        <v>870</v>
      </c>
      <c r="AD72" s="478">
        <f t="shared" si="15"/>
        <v>69.36</v>
      </c>
    </row>
    <row r="73" spans="1:30">
      <c r="A73" s="336"/>
      <c r="B73" s="344"/>
      <c r="C73" s="344"/>
      <c r="D73" s="340"/>
      <c r="E73" s="83"/>
      <c r="F73" s="83"/>
      <c r="G73" s="83"/>
      <c r="H73" s="83"/>
      <c r="I73" s="83"/>
      <c r="J73" s="83"/>
      <c r="K73" s="83"/>
      <c r="L73" s="83"/>
      <c r="M73" s="83"/>
      <c r="N73" s="83"/>
      <c r="O73" s="24"/>
      <c r="P73" s="108">
        <f t="shared" si="16"/>
        <v>980</v>
      </c>
      <c r="Q73" s="357">
        <f t="shared" si="17"/>
        <v>200.04</v>
      </c>
      <c r="R73" s="357">
        <f t="shared" si="4"/>
        <v>148</v>
      </c>
      <c r="S73" s="357">
        <f t="shared" si="5"/>
        <v>148</v>
      </c>
      <c r="T73" s="357">
        <f t="shared" si="6"/>
        <v>105.48</v>
      </c>
      <c r="U73" s="479">
        <f t="shared" si="18"/>
        <v>980</v>
      </c>
      <c r="V73" s="478">
        <f t="shared" si="19"/>
        <v>148</v>
      </c>
      <c r="W73" s="97"/>
      <c r="X73" s="108">
        <v>880</v>
      </c>
      <c r="Y73" s="106">
        <f t="shared" si="13"/>
        <v>84.07</v>
      </c>
      <c r="Z73" s="106">
        <f t="shared" si="9"/>
        <v>80</v>
      </c>
      <c r="AA73" s="106">
        <f t="shared" si="10"/>
        <v>68.040000000000006</v>
      </c>
      <c r="AB73" s="106">
        <f t="shared" si="1"/>
        <v>60</v>
      </c>
      <c r="AC73" s="479">
        <f t="shared" si="14"/>
        <v>880</v>
      </c>
      <c r="AD73" s="478">
        <f t="shared" si="15"/>
        <v>68.040000000000006</v>
      </c>
    </row>
    <row r="74" spans="1:30">
      <c r="A74" s="336"/>
      <c r="B74" s="344"/>
      <c r="C74" s="344"/>
      <c r="D74" s="340"/>
      <c r="E74" s="83"/>
      <c r="F74" s="83"/>
      <c r="G74" s="83"/>
      <c r="H74" s="83"/>
      <c r="I74" s="83"/>
      <c r="J74" s="83"/>
      <c r="K74" s="83"/>
      <c r="L74" s="83"/>
      <c r="M74" s="83"/>
      <c r="N74" s="83"/>
      <c r="O74" s="24"/>
      <c r="P74" s="108">
        <f t="shared" si="16"/>
        <v>990</v>
      </c>
      <c r="Q74" s="357">
        <f t="shared" si="17"/>
        <v>196.47</v>
      </c>
      <c r="R74" s="357">
        <f t="shared" si="4"/>
        <v>145.44</v>
      </c>
      <c r="S74" s="357">
        <f t="shared" si="5"/>
        <v>145.44</v>
      </c>
      <c r="T74" s="357">
        <f t="shared" si="6"/>
        <v>103.44</v>
      </c>
      <c r="U74" s="479">
        <f t="shared" si="18"/>
        <v>990</v>
      </c>
      <c r="V74" s="478">
        <f t="shared" si="19"/>
        <v>145.44</v>
      </c>
      <c r="W74" s="97"/>
      <c r="X74" s="108">
        <v>890</v>
      </c>
      <c r="Y74" s="106">
        <f t="shared" si="13"/>
        <v>81.64</v>
      </c>
      <c r="Z74" s="106">
        <f t="shared" si="9"/>
        <v>80</v>
      </c>
      <c r="AA74" s="106">
        <f t="shared" si="10"/>
        <v>66.760000000000005</v>
      </c>
      <c r="AB74" s="106">
        <f t="shared" si="1"/>
        <v>60</v>
      </c>
      <c r="AC74" s="479">
        <f t="shared" si="14"/>
        <v>890</v>
      </c>
      <c r="AD74" s="478">
        <f t="shared" si="15"/>
        <v>66.760000000000005</v>
      </c>
    </row>
    <row r="75" spans="1:30">
      <c r="A75" s="336"/>
      <c r="B75" s="344"/>
      <c r="C75" s="344"/>
      <c r="D75" s="340"/>
      <c r="E75" s="83"/>
      <c r="F75" s="83"/>
      <c r="G75" s="83"/>
      <c r="H75" s="83"/>
      <c r="I75" s="83"/>
      <c r="J75" s="83"/>
      <c r="K75" s="83"/>
      <c r="L75" s="83"/>
      <c r="M75" s="83"/>
      <c r="N75" s="83"/>
      <c r="O75" s="24"/>
      <c r="P75" s="108">
        <f t="shared" si="16"/>
        <v>1000</v>
      </c>
      <c r="Q75" s="357">
        <f t="shared" si="17"/>
        <v>192.98</v>
      </c>
      <c r="R75" s="357">
        <f t="shared" si="4"/>
        <v>142.93</v>
      </c>
      <c r="S75" s="357">
        <f t="shared" si="5"/>
        <v>142.93</v>
      </c>
      <c r="T75" s="357">
        <f t="shared" si="6"/>
        <v>101.47</v>
      </c>
      <c r="U75" s="479">
        <f t="shared" si="18"/>
        <v>1000</v>
      </c>
      <c r="V75" s="478">
        <f t="shared" si="19"/>
        <v>142.93</v>
      </c>
      <c r="W75" s="97"/>
      <c r="X75" s="108">
        <v>900</v>
      </c>
      <c r="Y75" s="106">
        <f t="shared" si="13"/>
        <v>80</v>
      </c>
      <c r="Z75" s="106">
        <f t="shared" si="9"/>
        <v>80</v>
      </c>
      <c r="AA75" s="106">
        <f t="shared" si="10"/>
        <v>65.53</v>
      </c>
      <c r="AB75" s="106">
        <f t="shared" si="1"/>
        <v>60</v>
      </c>
      <c r="AC75" s="479">
        <f t="shared" si="14"/>
        <v>900</v>
      </c>
      <c r="AD75" s="478">
        <f t="shared" si="15"/>
        <v>65.53</v>
      </c>
    </row>
    <row r="76" spans="1:30">
      <c r="A76" s="336"/>
      <c r="B76" s="344"/>
      <c r="C76" s="344"/>
      <c r="D76" s="340"/>
      <c r="E76" s="83"/>
      <c r="F76" s="83"/>
      <c r="G76" s="83"/>
      <c r="H76" s="83"/>
      <c r="I76" s="83"/>
      <c r="J76" s="83"/>
      <c r="K76" s="83"/>
      <c r="L76" s="83"/>
      <c r="M76" s="83"/>
      <c r="N76" s="83"/>
      <c r="O76" s="24"/>
      <c r="P76" s="108">
        <f t="shared" si="16"/>
        <v>1010</v>
      </c>
      <c r="Q76" s="357">
        <f t="shared" si="17"/>
        <v>189.56</v>
      </c>
      <c r="R76" s="357">
        <f t="shared" si="4"/>
        <v>140.47</v>
      </c>
      <c r="S76" s="357">
        <f t="shared" si="5"/>
        <v>140.47</v>
      </c>
      <c r="T76" s="357">
        <f t="shared" si="6"/>
        <v>99.55</v>
      </c>
      <c r="U76" s="479">
        <f t="shared" si="18"/>
        <v>1010</v>
      </c>
      <c r="V76" s="478">
        <f t="shared" si="19"/>
        <v>140.47</v>
      </c>
      <c r="W76" s="97"/>
      <c r="X76" s="108">
        <v>910</v>
      </c>
      <c r="Y76" s="106">
        <f t="shared" si="13"/>
        <v>80</v>
      </c>
      <c r="Z76" s="106">
        <f t="shared" si="9"/>
        <v>80</v>
      </c>
      <c r="AA76" s="106">
        <f t="shared" si="10"/>
        <v>64.34</v>
      </c>
      <c r="AB76" s="106">
        <f t="shared" ref="AB76:AB85" si="28">ROUND(IF(X76&gt;750,60,-($B$12*X76^4)+($B$13*X76^3)-($B$14*X76^2)+($B$15*X76)+$B$16),2)</f>
        <v>60</v>
      </c>
      <c r="AC76" s="479">
        <f t="shared" si="14"/>
        <v>910</v>
      </c>
      <c r="AD76" s="478">
        <f t="shared" si="15"/>
        <v>64.34</v>
      </c>
    </row>
    <row r="77" spans="1:30">
      <c r="A77" s="83"/>
      <c r="B77" s="83"/>
      <c r="C77" s="83"/>
      <c r="D77" s="83"/>
      <c r="E77" s="83"/>
      <c r="F77" s="83"/>
      <c r="G77" s="83"/>
      <c r="H77" s="83"/>
      <c r="I77" s="83"/>
      <c r="J77" s="83"/>
      <c r="K77" s="83"/>
      <c r="L77" s="83"/>
      <c r="M77" s="83"/>
      <c r="N77" s="83"/>
      <c r="P77" s="108">
        <f t="shared" si="16"/>
        <v>1020</v>
      </c>
      <c r="Q77" s="357">
        <f t="shared" si="17"/>
        <v>186.22</v>
      </c>
      <c r="R77" s="357">
        <f t="shared" si="4"/>
        <v>138.06</v>
      </c>
      <c r="S77" s="357">
        <f t="shared" si="5"/>
        <v>138.06</v>
      </c>
      <c r="T77" s="357">
        <f t="shared" si="6"/>
        <v>97.7</v>
      </c>
      <c r="U77" s="479">
        <f t="shared" si="18"/>
        <v>1020</v>
      </c>
      <c r="V77" s="478">
        <f t="shared" si="19"/>
        <v>138.06</v>
      </c>
      <c r="W77" s="97"/>
      <c r="X77" s="108">
        <v>920</v>
      </c>
      <c r="Y77" s="106">
        <f t="shared" si="13"/>
        <v>80</v>
      </c>
      <c r="Z77" s="106">
        <f t="shared" si="9"/>
        <v>80</v>
      </c>
      <c r="AA77" s="106">
        <f t="shared" si="10"/>
        <v>63.2</v>
      </c>
      <c r="AB77" s="106">
        <f t="shared" si="28"/>
        <v>60</v>
      </c>
      <c r="AC77" s="479">
        <f t="shared" si="14"/>
        <v>920</v>
      </c>
      <c r="AD77" s="478">
        <f t="shared" si="15"/>
        <v>63.2</v>
      </c>
    </row>
    <row r="78" spans="1:30">
      <c r="A78" s="83"/>
      <c r="B78" s="83"/>
      <c r="C78" s="83"/>
      <c r="D78" s="83"/>
      <c r="E78" s="83"/>
      <c r="F78" s="83"/>
      <c r="G78" s="83"/>
      <c r="H78" s="83"/>
      <c r="I78" s="83"/>
      <c r="J78" s="83"/>
      <c r="K78" s="83"/>
      <c r="L78" s="83"/>
      <c r="M78" s="83"/>
      <c r="N78" s="83"/>
      <c r="P78" s="108">
        <f t="shared" si="16"/>
        <v>1030</v>
      </c>
      <c r="Q78" s="357">
        <f t="shared" si="17"/>
        <v>182.94</v>
      </c>
      <c r="R78" s="357">
        <f t="shared" ref="R78:R115" si="29">ROUND(IF(P78&gt;1120,115,-($G$4*P78^4)+($G$5*P78^3)-($G$6*P78^2)-($G$7*P78)+$G$8),2)</f>
        <v>135.69999999999999</v>
      </c>
      <c r="S78" s="357">
        <f t="shared" ref="S78:S115" si="30">ROUND(IF(P78&gt;1350,80,-($G$4*P78^4)+($G$5*P78^3)-($G$6*P78^2)-($G$7*P78)+$G$8),2)</f>
        <v>135.69999999999999</v>
      </c>
      <c r="T78" s="357">
        <f t="shared" ref="T78:T115" si="31">ROUND(IF(P78&gt;=1150,80,($B$4*P78^4)-($B$5*P78^3)+($B$6*P78^2)-($B$7*P78)+$B$8),2)</f>
        <v>95.9</v>
      </c>
      <c r="U78" s="479">
        <f t="shared" si="18"/>
        <v>1030</v>
      </c>
      <c r="V78" s="478">
        <f t="shared" si="19"/>
        <v>135.69999999999999</v>
      </c>
      <c r="W78" s="97"/>
      <c r="X78" s="108">
        <v>930</v>
      </c>
      <c r="Y78" s="106">
        <f t="shared" si="13"/>
        <v>80</v>
      </c>
      <c r="Z78" s="106">
        <f t="shared" ref="Z78:Z85" si="32">ROUND(IF(X78&gt;800,80,-($G$12*X78^4)+($G$13*X78^3)-($G$14*X78^2)-($G$15*X78)+$G$16),2)</f>
        <v>80</v>
      </c>
      <c r="AA78" s="106">
        <f t="shared" ref="AA78:AA85" si="33">ROUND(IF(X78&gt;=950,60,-($G$12*X78^4)+($G$13*X78^3)-($G$14*X78^2)-($G$15*X78)+$G$16),2)</f>
        <v>62.09</v>
      </c>
      <c r="AB78" s="106">
        <f t="shared" si="28"/>
        <v>60</v>
      </c>
      <c r="AC78" s="479">
        <f t="shared" si="14"/>
        <v>930</v>
      </c>
      <c r="AD78" s="478">
        <f t="shared" si="15"/>
        <v>62.09</v>
      </c>
    </row>
    <row r="79" spans="1:30">
      <c r="A79" s="334"/>
      <c r="B79" s="333"/>
      <c r="C79" s="333"/>
      <c r="D79" s="83"/>
      <c r="E79" s="83"/>
      <c r="F79" s="83"/>
      <c r="G79" s="83"/>
      <c r="H79" s="83"/>
      <c r="I79" s="83"/>
      <c r="J79" s="83"/>
      <c r="K79" s="83"/>
      <c r="L79" s="83"/>
      <c r="M79" s="83"/>
      <c r="N79" s="83"/>
      <c r="P79" s="108">
        <f t="shared" si="16"/>
        <v>1040</v>
      </c>
      <c r="Q79" s="357">
        <f t="shared" si="17"/>
        <v>179.74</v>
      </c>
      <c r="R79" s="357">
        <f t="shared" si="29"/>
        <v>133.4</v>
      </c>
      <c r="S79" s="357">
        <f t="shared" si="30"/>
        <v>133.4</v>
      </c>
      <c r="T79" s="357">
        <f t="shared" si="31"/>
        <v>94.18</v>
      </c>
      <c r="U79" s="479">
        <f t="shared" si="18"/>
        <v>1040</v>
      </c>
      <c r="V79" s="478">
        <f t="shared" si="19"/>
        <v>133.4</v>
      </c>
      <c r="W79" s="97"/>
      <c r="X79" s="108">
        <v>940</v>
      </c>
      <c r="Y79" s="106">
        <f t="shared" si="13"/>
        <v>80</v>
      </c>
      <c r="Z79" s="106">
        <f t="shared" si="32"/>
        <v>80</v>
      </c>
      <c r="AA79" s="106">
        <f t="shared" si="33"/>
        <v>61.01</v>
      </c>
      <c r="AB79" s="106">
        <f t="shared" si="28"/>
        <v>60</v>
      </c>
      <c r="AC79" s="479">
        <f t="shared" si="14"/>
        <v>940</v>
      </c>
      <c r="AD79" s="478">
        <f t="shared" si="15"/>
        <v>61.01</v>
      </c>
    </row>
    <row r="80" spans="1:30">
      <c r="A80" s="345"/>
      <c r="B80" s="333"/>
      <c r="C80" s="333"/>
      <c r="D80" s="83"/>
      <c r="E80" s="83"/>
      <c r="F80" s="83"/>
      <c r="G80" s="83"/>
      <c r="H80" s="83"/>
      <c r="I80" s="83"/>
      <c r="J80" s="83"/>
      <c r="K80" s="83"/>
      <c r="L80" s="83"/>
      <c r="M80" s="83"/>
      <c r="N80" s="83"/>
      <c r="P80" s="108">
        <f t="shared" si="16"/>
        <v>1050</v>
      </c>
      <c r="Q80" s="357">
        <f t="shared" si="17"/>
        <v>176.61</v>
      </c>
      <c r="R80" s="357">
        <f t="shared" si="29"/>
        <v>131.13999999999999</v>
      </c>
      <c r="S80" s="357">
        <f t="shared" si="30"/>
        <v>131.13999999999999</v>
      </c>
      <c r="T80" s="357">
        <f t="shared" si="31"/>
        <v>92.52</v>
      </c>
      <c r="U80" s="479">
        <f t="shared" si="18"/>
        <v>1050</v>
      </c>
      <c r="V80" s="478">
        <f t="shared" si="19"/>
        <v>131.13999999999999</v>
      </c>
      <c r="W80" s="97"/>
      <c r="X80" s="108">
        <v>950</v>
      </c>
      <c r="Y80" s="106">
        <f t="shared" si="13"/>
        <v>80</v>
      </c>
      <c r="Z80" s="106">
        <f t="shared" si="32"/>
        <v>80</v>
      </c>
      <c r="AA80" s="106">
        <f t="shared" si="33"/>
        <v>60</v>
      </c>
      <c r="AB80" s="106">
        <f t="shared" si="28"/>
        <v>60</v>
      </c>
      <c r="AC80" s="479">
        <f t="shared" si="14"/>
        <v>950</v>
      </c>
      <c r="AD80" s="478">
        <f t="shared" si="15"/>
        <v>60</v>
      </c>
    </row>
    <row r="81" spans="1:30">
      <c r="A81" s="345"/>
      <c r="B81" s="333"/>
      <c r="C81" s="333"/>
      <c r="D81" s="83"/>
      <c r="E81" s="83"/>
      <c r="F81" s="83"/>
      <c r="G81" s="83"/>
      <c r="H81" s="83"/>
      <c r="I81" s="83"/>
      <c r="J81" s="83"/>
      <c r="K81" s="83"/>
      <c r="L81" s="83"/>
      <c r="M81" s="83"/>
      <c r="N81" s="83"/>
      <c r="P81" s="108">
        <f t="shared" ref="P81:P115" si="34">P80+10</f>
        <v>1060</v>
      </c>
      <c r="Q81" s="357">
        <f t="shared" si="17"/>
        <v>173.55</v>
      </c>
      <c r="R81" s="357">
        <f t="shared" si="29"/>
        <v>128.93</v>
      </c>
      <c r="S81" s="357">
        <f t="shared" si="30"/>
        <v>128.93</v>
      </c>
      <c r="T81" s="357">
        <f t="shared" si="31"/>
        <v>90.92</v>
      </c>
      <c r="U81" s="479">
        <f t="shared" si="18"/>
        <v>1060</v>
      </c>
      <c r="V81" s="478">
        <f t="shared" si="19"/>
        <v>128.93</v>
      </c>
      <c r="W81" s="97"/>
      <c r="X81" s="108">
        <v>960</v>
      </c>
      <c r="Y81" s="106">
        <f t="shared" si="13"/>
        <v>80</v>
      </c>
      <c r="Z81" s="106">
        <f t="shared" si="32"/>
        <v>80</v>
      </c>
      <c r="AA81" s="106">
        <f t="shared" si="33"/>
        <v>60</v>
      </c>
      <c r="AB81" s="106">
        <f t="shared" si="28"/>
        <v>60</v>
      </c>
      <c r="AC81" s="479">
        <f t="shared" si="14"/>
        <v>960</v>
      </c>
      <c r="AD81" s="478">
        <f t="shared" si="15"/>
        <v>60</v>
      </c>
    </row>
    <row r="82" spans="1:30">
      <c r="A82" s="345"/>
      <c r="B82" s="333"/>
      <c r="C82" s="333"/>
      <c r="D82" s="83"/>
      <c r="E82" s="83"/>
      <c r="F82" s="83"/>
      <c r="G82" s="83"/>
      <c r="H82" s="83"/>
      <c r="I82" s="83"/>
      <c r="J82" s="83"/>
      <c r="K82" s="83"/>
      <c r="L82" s="83"/>
      <c r="M82" s="83"/>
      <c r="N82" s="83"/>
      <c r="P82" s="108">
        <f t="shared" si="34"/>
        <v>1070</v>
      </c>
      <c r="Q82" s="357">
        <f t="shared" si="17"/>
        <v>170.55</v>
      </c>
      <c r="R82" s="357">
        <f t="shared" si="29"/>
        <v>126.77</v>
      </c>
      <c r="S82" s="357">
        <f t="shared" si="30"/>
        <v>126.77</v>
      </c>
      <c r="T82" s="357">
        <f t="shared" si="31"/>
        <v>89.4</v>
      </c>
      <c r="U82" s="479">
        <f t="shared" si="18"/>
        <v>1070</v>
      </c>
      <c r="V82" s="478">
        <f t="shared" si="19"/>
        <v>126.77</v>
      </c>
      <c r="W82" s="97"/>
      <c r="X82" s="108">
        <v>970</v>
      </c>
      <c r="Y82" s="106">
        <f t="shared" si="13"/>
        <v>80</v>
      </c>
      <c r="Z82" s="106">
        <f t="shared" si="32"/>
        <v>80</v>
      </c>
      <c r="AA82" s="106">
        <f t="shared" si="33"/>
        <v>60</v>
      </c>
      <c r="AB82" s="106">
        <f t="shared" si="28"/>
        <v>60</v>
      </c>
      <c r="AC82" s="479">
        <f t="shared" si="14"/>
        <v>970</v>
      </c>
      <c r="AD82" s="478">
        <f t="shared" si="15"/>
        <v>60</v>
      </c>
    </row>
    <row r="83" spans="1:30">
      <c r="A83" s="345"/>
      <c r="B83" s="333"/>
      <c r="C83" s="333"/>
      <c r="D83" s="83"/>
      <c r="E83" s="83"/>
      <c r="F83" s="83"/>
      <c r="G83" s="83"/>
      <c r="H83" s="83"/>
      <c r="I83" s="83"/>
      <c r="J83" s="83"/>
      <c r="K83" s="83"/>
      <c r="L83" s="83"/>
      <c r="M83" s="83"/>
      <c r="N83" s="83"/>
      <c r="P83" s="108">
        <f t="shared" si="34"/>
        <v>1080</v>
      </c>
      <c r="Q83" s="357">
        <f t="shared" si="17"/>
        <v>167.62</v>
      </c>
      <c r="R83" s="357">
        <f t="shared" si="29"/>
        <v>124.65</v>
      </c>
      <c r="S83" s="357">
        <f t="shared" si="30"/>
        <v>124.65</v>
      </c>
      <c r="T83" s="357">
        <f t="shared" si="31"/>
        <v>87.95</v>
      </c>
      <c r="U83" s="479">
        <f t="shared" si="18"/>
        <v>1080</v>
      </c>
      <c r="V83" s="478">
        <f t="shared" si="19"/>
        <v>124.65</v>
      </c>
      <c r="W83" s="97"/>
      <c r="X83" s="108">
        <v>980</v>
      </c>
      <c r="Y83" s="106">
        <f t="shared" si="13"/>
        <v>80</v>
      </c>
      <c r="Z83" s="106">
        <f t="shared" si="32"/>
        <v>80</v>
      </c>
      <c r="AA83" s="106">
        <f t="shared" si="33"/>
        <v>60</v>
      </c>
      <c r="AB83" s="106">
        <f t="shared" si="28"/>
        <v>60</v>
      </c>
      <c r="AC83" s="479">
        <f t="shared" si="14"/>
        <v>980</v>
      </c>
      <c r="AD83" s="478">
        <f t="shared" si="15"/>
        <v>60</v>
      </c>
    </row>
    <row r="84" spans="1:30">
      <c r="A84" s="83"/>
      <c r="B84" s="83"/>
      <c r="C84" s="83"/>
      <c r="D84" s="83"/>
      <c r="E84" s="83"/>
      <c r="F84" s="83"/>
      <c r="G84" s="83"/>
      <c r="H84" s="83"/>
      <c r="I84" s="83"/>
      <c r="J84" s="83"/>
      <c r="K84" s="83"/>
      <c r="L84" s="83"/>
      <c r="M84" s="83"/>
      <c r="N84" s="83"/>
      <c r="P84" s="108">
        <f t="shared" si="34"/>
        <v>1090</v>
      </c>
      <c r="Q84" s="357">
        <f t="shared" si="17"/>
        <v>164.75</v>
      </c>
      <c r="R84" s="357">
        <f t="shared" si="29"/>
        <v>122.58</v>
      </c>
      <c r="S84" s="357">
        <f t="shared" si="30"/>
        <v>122.58</v>
      </c>
      <c r="T84" s="357">
        <f t="shared" si="31"/>
        <v>86.57</v>
      </c>
      <c r="U84" s="479">
        <f t="shared" si="18"/>
        <v>1090</v>
      </c>
      <c r="V84" s="478">
        <f t="shared" si="19"/>
        <v>122.58</v>
      </c>
      <c r="W84" s="97"/>
      <c r="X84" s="108">
        <v>990</v>
      </c>
      <c r="Y84" s="106">
        <f t="shared" si="13"/>
        <v>80</v>
      </c>
      <c r="Z84" s="106">
        <f t="shared" si="32"/>
        <v>80</v>
      </c>
      <c r="AA84" s="106">
        <f t="shared" si="33"/>
        <v>60</v>
      </c>
      <c r="AB84" s="106">
        <f t="shared" si="28"/>
        <v>60</v>
      </c>
      <c r="AC84" s="479">
        <f t="shared" si="14"/>
        <v>990</v>
      </c>
      <c r="AD84" s="478">
        <f t="shared" si="15"/>
        <v>60</v>
      </c>
    </row>
    <row r="85" spans="1:30">
      <c r="A85" s="83"/>
      <c r="B85" s="83"/>
      <c r="C85" s="83"/>
      <c r="D85" s="83"/>
      <c r="E85" s="83"/>
      <c r="F85" s="83"/>
      <c r="G85" s="83"/>
      <c r="H85" s="83"/>
      <c r="I85" s="83"/>
      <c r="J85" s="83"/>
      <c r="K85" s="83"/>
      <c r="L85" s="83"/>
      <c r="M85" s="83"/>
      <c r="N85" s="83"/>
      <c r="P85" s="108">
        <f t="shared" si="34"/>
        <v>1100</v>
      </c>
      <c r="Q85" s="357">
        <f t="shared" si="17"/>
        <v>161.94999999999999</v>
      </c>
      <c r="R85" s="357">
        <f t="shared" si="29"/>
        <v>120.56</v>
      </c>
      <c r="S85" s="357">
        <f t="shared" si="30"/>
        <v>120.56</v>
      </c>
      <c r="T85" s="357">
        <f t="shared" si="31"/>
        <v>85.27</v>
      </c>
      <c r="U85" s="479">
        <f t="shared" si="18"/>
        <v>1100</v>
      </c>
      <c r="V85" s="478">
        <f t="shared" si="19"/>
        <v>120.56</v>
      </c>
      <c r="W85" s="97"/>
      <c r="X85" s="108">
        <v>1000</v>
      </c>
      <c r="Y85" s="106">
        <f t="shared" ref="Y85" si="35">ROUND(IF(X85&gt;=900,80,-($L$12*X85^4)+($L$13*X85^3)-($L$14*X85^2)+($L$15*X85)+$L$16),2)</f>
        <v>80</v>
      </c>
      <c r="Z85" s="106">
        <f t="shared" si="32"/>
        <v>80</v>
      </c>
      <c r="AA85" s="106">
        <f t="shared" si="33"/>
        <v>60</v>
      </c>
      <c r="AB85" s="106">
        <f t="shared" si="28"/>
        <v>60</v>
      </c>
      <c r="AC85" s="479">
        <f t="shared" ref="AC85" si="36">X85</f>
        <v>1000</v>
      </c>
      <c r="AD85" s="478">
        <f t="shared" ref="AD85" si="37">IF($B$38+$C$38=4,Y85,IF($B$38=2,AA85,IF($B$38+$C$38=3,Z85,AB85)))</f>
        <v>60</v>
      </c>
    </row>
    <row r="86" spans="1:30">
      <c r="A86" s="83"/>
      <c r="B86" s="83"/>
      <c r="C86" s="83"/>
      <c r="D86" s="83"/>
      <c r="E86" s="83"/>
      <c r="F86" s="83"/>
      <c r="G86" s="83"/>
      <c r="H86" s="83"/>
      <c r="I86" s="83"/>
      <c r="J86" s="83"/>
      <c r="K86" s="83"/>
      <c r="L86" s="83"/>
      <c r="M86" s="83"/>
      <c r="N86" s="83"/>
      <c r="P86" s="108">
        <f t="shared" si="34"/>
        <v>1110</v>
      </c>
      <c r="Q86" s="357">
        <f t="shared" si="17"/>
        <v>159.19999999999999</v>
      </c>
      <c r="R86" s="357">
        <f t="shared" si="29"/>
        <v>118.58</v>
      </c>
      <c r="S86" s="357">
        <f t="shared" si="30"/>
        <v>118.58</v>
      </c>
      <c r="T86" s="357">
        <f t="shared" si="31"/>
        <v>84.04</v>
      </c>
      <c r="U86" s="479">
        <f t="shared" si="18"/>
        <v>1110</v>
      </c>
      <c r="V86" s="478">
        <f t="shared" si="19"/>
        <v>118.58</v>
      </c>
      <c r="W86" s="97"/>
      <c r="X86" s="97"/>
      <c r="Y86" s="104"/>
      <c r="Z86" s="104"/>
      <c r="AA86" s="104"/>
      <c r="AB86" s="97"/>
    </row>
    <row r="87" spans="1:30">
      <c r="A87" s="83"/>
      <c r="B87" s="83"/>
      <c r="C87" s="83"/>
      <c r="D87" s="83"/>
      <c r="E87" s="83"/>
      <c r="F87" s="83"/>
      <c r="G87" s="83"/>
      <c r="H87" s="83"/>
      <c r="I87" s="83"/>
      <c r="J87" s="83"/>
      <c r="K87" s="83"/>
      <c r="L87" s="83"/>
      <c r="M87" s="83"/>
      <c r="N87" s="83"/>
      <c r="P87" s="108">
        <f t="shared" si="34"/>
        <v>1120</v>
      </c>
      <c r="Q87" s="357">
        <f t="shared" si="17"/>
        <v>156.51</v>
      </c>
      <c r="R87" s="357">
        <f t="shared" si="29"/>
        <v>116.64</v>
      </c>
      <c r="S87" s="357">
        <f t="shared" si="30"/>
        <v>116.64</v>
      </c>
      <c r="T87" s="357">
        <f t="shared" si="31"/>
        <v>82.9</v>
      </c>
      <c r="U87" s="479">
        <f t="shared" si="18"/>
        <v>1120</v>
      </c>
      <c r="V87" s="478">
        <f t="shared" si="19"/>
        <v>116.64</v>
      </c>
      <c r="W87" s="97"/>
      <c r="X87" s="97"/>
      <c r="Y87" s="104"/>
      <c r="Z87" s="104"/>
      <c r="AA87" s="104"/>
      <c r="AB87" s="97"/>
    </row>
    <row r="88" spans="1:30">
      <c r="A88" s="83"/>
      <c r="B88" s="83"/>
      <c r="C88" s="83"/>
      <c r="D88" s="83"/>
      <c r="E88" s="83"/>
      <c r="F88" s="83"/>
      <c r="G88" s="83"/>
      <c r="H88" s="83"/>
      <c r="I88" s="83"/>
      <c r="J88" s="83"/>
      <c r="K88" s="83"/>
      <c r="L88" s="83"/>
      <c r="M88" s="83"/>
      <c r="N88" s="83"/>
      <c r="P88" s="108">
        <f t="shared" si="34"/>
        <v>1130</v>
      </c>
      <c r="Q88" s="357">
        <f t="shared" si="17"/>
        <v>153.87</v>
      </c>
      <c r="R88" s="357">
        <f t="shared" si="29"/>
        <v>115</v>
      </c>
      <c r="S88" s="357">
        <f t="shared" si="30"/>
        <v>114.74</v>
      </c>
      <c r="T88" s="357">
        <f t="shared" si="31"/>
        <v>81.84</v>
      </c>
      <c r="U88" s="479">
        <f t="shared" si="18"/>
        <v>1130</v>
      </c>
      <c r="V88" s="478">
        <f t="shared" si="19"/>
        <v>114.74</v>
      </c>
      <c r="W88" s="97"/>
      <c r="X88" s="97"/>
      <c r="Y88" s="97"/>
      <c r="Z88" s="97"/>
      <c r="AA88" s="97"/>
      <c r="AB88" s="97"/>
    </row>
    <row r="89" spans="1:30">
      <c r="A89" s="83"/>
      <c r="B89" s="83"/>
      <c r="C89" s="83"/>
      <c r="D89" s="83"/>
      <c r="E89" s="83"/>
      <c r="F89" s="83"/>
      <c r="G89" s="83"/>
      <c r="H89" s="83"/>
      <c r="I89" s="83"/>
      <c r="J89" s="83"/>
      <c r="K89" s="83"/>
      <c r="L89" s="83"/>
      <c r="M89" s="83"/>
      <c r="N89" s="83"/>
      <c r="P89" s="108">
        <f t="shared" si="34"/>
        <v>1140</v>
      </c>
      <c r="Q89" s="357">
        <f t="shared" ref="Q89:Q115" si="38">ROUND(IF(P89&gt;=1300,115,-($L$4*P89^4)+($L$5*P89^3)-($L$6*P89^2)+($L$7*P89)+$L$8),2)</f>
        <v>151.29</v>
      </c>
      <c r="R89" s="357">
        <f t="shared" si="29"/>
        <v>115</v>
      </c>
      <c r="S89" s="357">
        <f t="shared" si="30"/>
        <v>112.88</v>
      </c>
      <c r="T89" s="357">
        <f t="shared" si="31"/>
        <v>80.86</v>
      </c>
      <c r="U89" s="479">
        <f t="shared" ref="U89:U115" si="39">P89</f>
        <v>1140</v>
      </c>
      <c r="V89" s="478">
        <f t="shared" ref="V89:V115" si="40">IF(B$38+C$38=4,Q89,IF(B$38=2,S89,IF(B$38+C$38=3,R89,T89)))</f>
        <v>112.88</v>
      </c>
      <c r="W89" s="97"/>
      <c r="X89" s="97"/>
      <c r="Y89" s="97"/>
      <c r="Z89" s="97"/>
      <c r="AA89" s="97"/>
      <c r="AB89" s="97"/>
    </row>
    <row r="90" spans="1:30">
      <c r="A90" s="83"/>
      <c r="B90" s="83"/>
      <c r="C90" s="83"/>
      <c r="D90" s="83"/>
      <c r="E90" s="83"/>
      <c r="F90" s="83"/>
      <c r="G90" s="83"/>
      <c r="H90" s="83"/>
      <c r="I90" s="83"/>
      <c r="J90" s="83"/>
      <c r="K90" s="83"/>
      <c r="L90" s="83"/>
      <c r="M90" s="83"/>
      <c r="N90" s="83"/>
      <c r="P90" s="108">
        <f t="shared" si="34"/>
        <v>1150</v>
      </c>
      <c r="Q90" s="357">
        <f t="shared" si="38"/>
        <v>148.75</v>
      </c>
      <c r="R90" s="357">
        <f t="shared" si="29"/>
        <v>115</v>
      </c>
      <c r="S90" s="357">
        <f t="shared" si="30"/>
        <v>111.06</v>
      </c>
      <c r="T90" s="357">
        <f t="shared" si="31"/>
        <v>80</v>
      </c>
      <c r="U90" s="479">
        <f t="shared" si="39"/>
        <v>1150</v>
      </c>
      <c r="V90" s="478">
        <f t="shared" si="40"/>
        <v>111.06</v>
      </c>
      <c r="W90" s="97"/>
      <c r="X90" s="97"/>
      <c r="Y90" s="97"/>
      <c r="Z90" s="97"/>
      <c r="AA90" s="97"/>
      <c r="AB90" s="97"/>
    </row>
    <row r="91" spans="1:30">
      <c r="A91" s="83"/>
      <c r="B91" s="83"/>
      <c r="C91" s="83"/>
      <c r="D91" s="83"/>
      <c r="E91" s="83"/>
      <c r="F91" s="83"/>
      <c r="G91" s="83"/>
      <c r="H91" s="83"/>
      <c r="I91" s="83"/>
      <c r="J91" s="83"/>
      <c r="K91" s="83"/>
      <c r="L91" s="83"/>
      <c r="M91" s="83"/>
      <c r="N91" s="83"/>
      <c r="P91" s="108">
        <f t="shared" si="34"/>
        <v>1160</v>
      </c>
      <c r="Q91" s="357">
        <f t="shared" si="38"/>
        <v>146.26</v>
      </c>
      <c r="R91" s="357">
        <f t="shared" si="29"/>
        <v>115</v>
      </c>
      <c r="S91" s="357">
        <f t="shared" si="30"/>
        <v>109.27</v>
      </c>
      <c r="T91" s="357">
        <f t="shared" si="31"/>
        <v>80</v>
      </c>
      <c r="U91" s="479">
        <f t="shared" si="39"/>
        <v>1160</v>
      </c>
      <c r="V91" s="478">
        <f t="shared" si="40"/>
        <v>109.27</v>
      </c>
      <c r="W91" s="97"/>
      <c r="X91" s="97"/>
      <c r="Y91" s="97"/>
      <c r="Z91" s="97"/>
      <c r="AA91" s="97"/>
      <c r="AB91" s="97"/>
    </row>
    <row r="92" spans="1:30">
      <c r="A92" s="83"/>
      <c r="B92" s="83"/>
      <c r="C92" s="83"/>
      <c r="D92" s="83"/>
      <c r="E92" s="83"/>
      <c r="F92" s="83"/>
      <c r="G92" s="83"/>
      <c r="H92" s="83"/>
      <c r="I92" s="83"/>
      <c r="J92" s="83"/>
      <c r="K92" s="83"/>
      <c r="L92" s="83"/>
      <c r="M92" s="83"/>
      <c r="N92" s="83"/>
      <c r="P92" s="108">
        <f t="shared" si="34"/>
        <v>1170</v>
      </c>
      <c r="Q92" s="357">
        <f t="shared" si="38"/>
        <v>143.82</v>
      </c>
      <c r="R92" s="357">
        <f t="shared" si="29"/>
        <v>115</v>
      </c>
      <c r="S92" s="357">
        <f t="shared" si="30"/>
        <v>107.52</v>
      </c>
      <c r="T92" s="357">
        <f t="shared" si="31"/>
        <v>80</v>
      </c>
      <c r="U92" s="479">
        <f t="shared" si="39"/>
        <v>1170</v>
      </c>
      <c r="V92" s="478">
        <f t="shared" si="40"/>
        <v>107.52</v>
      </c>
      <c r="W92" s="97"/>
      <c r="X92" s="97"/>
      <c r="Y92" s="97"/>
      <c r="Z92" s="97"/>
      <c r="AA92" s="97"/>
      <c r="AB92" s="97"/>
    </row>
    <row r="93" spans="1:30">
      <c r="A93" s="83"/>
      <c r="B93" s="83"/>
      <c r="C93" s="83"/>
      <c r="D93" s="83"/>
      <c r="E93" s="83"/>
      <c r="F93" s="83"/>
      <c r="G93" s="83"/>
      <c r="H93" s="83"/>
      <c r="I93" s="83"/>
      <c r="J93" s="83"/>
      <c r="K93" s="83"/>
      <c r="L93" s="83"/>
      <c r="M93" s="83"/>
      <c r="N93" s="83"/>
      <c r="P93" s="108">
        <f t="shared" si="34"/>
        <v>1180</v>
      </c>
      <c r="Q93" s="357">
        <f t="shared" si="38"/>
        <v>141.41</v>
      </c>
      <c r="R93" s="357">
        <f t="shared" si="29"/>
        <v>115</v>
      </c>
      <c r="S93" s="357">
        <f t="shared" si="30"/>
        <v>105.81</v>
      </c>
      <c r="T93" s="357">
        <f t="shared" si="31"/>
        <v>80</v>
      </c>
      <c r="U93" s="479">
        <f t="shared" si="39"/>
        <v>1180</v>
      </c>
      <c r="V93" s="478">
        <f t="shared" si="40"/>
        <v>105.81</v>
      </c>
      <c r="W93" s="97"/>
      <c r="X93" s="97"/>
      <c r="Y93" s="97"/>
      <c r="Z93" s="97"/>
      <c r="AA93" s="97"/>
      <c r="AB93" s="97"/>
    </row>
    <row r="94" spans="1:30">
      <c r="A94" s="346"/>
      <c r="B94" s="346"/>
      <c r="C94" s="346"/>
      <c r="D94" s="347"/>
      <c r="E94" s="84"/>
      <c r="F94" s="84"/>
      <c r="G94" s="83"/>
      <c r="H94" s="83"/>
      <c r="I94" s="83"/>
      <c r="J94" s="83"/>
      <c r="K94" s="83"/>
      <c r="L94" s="83"/>
      <c r="M94" s="83"/>
      <c r="N94" s="83"/>
      <c r="P94" s="108">
        <f t="shared" si="34"/>
        <v>1190</v>
      </c>
      <c r="Q94" s="357">
        <f t="shared" si="38"/>
        <v>139.05000000000001</v>
      </c>
      <c r="R94" s="357">
        <f t="shared" si="29"/>
        <v>115</v>
      </c>
      <c r="S94" s="357">
        <f t="shared" si="30"/>
        <v>104.13</v>
      </c>
      <c r="T94" s="357">
        <f t="shared" si="31"/>
        <v>80</v>
      </c>
      <c r="U94" s="479">
        <f t="shared" si="39"/>
        <v>1190</v>
      </c>
      <c r="V94" s="478">
        <f t="shared" si="40"/>
        <v>104.13</v>
      </c>
    </row>
    <row r="95" spans="1:30">
      <c r="A95" s="348"/>
      <c r="B95" s="348"/>
      <c r="C95" s="127"/>
      <c r="D95" s="143"/>
      <c r="E95" s="127"/>
      <c r="F95" s="127"/>
      <c r="G95" s="83"/>
      <c r="H95" s="83"/>
      <c r="I95" s="83"/>
      <c r="J95" s="83"/>
      <c r="K95" s="83"/>
      <c r="L95" s="83"/>
      <c r="M95" s="83"/>
      <c r="N95" s="83"/>
      <c r="P95" s="108">
        <f t="shared" si="34"/>
        <v>1200</v>
      </c>
      <c r="Q95" s="357">
        <f t="shared" si="38"/>
        <v>136.71</v>
      </c>
      <c r="R95" s="357">
        <f t="shared" si="29"/>
        <v>115</v>
      </c>
      <c r="S95" s="357">
        <f t="shared" si="30"/>
        <v>102.48</v>
      </c>
      <c r="T95" s="357">
        <f t="shared" si="31"/>
        <v>80</v>
      </c>
      <c r="U95" s="479">
        <f t="shared" si="39"/>
        <v>1200</v>
      </c>
      <c r="V95" s="478">
        <f t="shared" si="40"/>
        <v>102.48</v>
      </c>
    </row>
    <row r="96" spans="1:30">
      <c r="A96" s="348"/>
      <c r="B96" s="348"/>
      <c r="C96" s="127"/>
      <c r="D96" s="143"/>
      <c r="E96" s="127"/>
      <c r="F96" s="127"/>
      <c r="G96" s="83"/>
      <c r="H96" s="83"/>
      <c r="I96" s="83"/>
      <c r="J96" s="83"/>
      <c r="K96" s="83"/>
      <c r="L96" s="83"/>
      <c r="M96" s="83"/>
      <c r="N96" s="83"/>
      <c r="P96" s="108">
        <f t="shared" si="34"/>
        <v>1210</v>
      </c>
      <c r="Q96" s="357">
        <f t="shared" si="38"/>
        <v>134.41999999999999</v>
      </c>
      <c r="R96" s="357">
        <f t="shared" si="29"/>
        <v>115</v>
      </c>
      <c r="S96" s="357">
        <f t="shared" si="30"/>
        <v>100.87</v>
      </c>
      <c r="T96" s="357">
        <f t="shared" si="31"/>
        <v>80</v>
      </c>
      <c r="U96" s="479">
        <f t="shared" si="39"/>
        <v>1210</v>
      </c>
      <c r="V96" s="478">
        <f t="shared" si="40"/>
        <v>100.87</v>
      </c>
    </row>
    <row r="97" spans="1:22">
      <c r="A97" s="328"/>
      <c r="B97" s="128"/>
      <c r="C97" s="328"/>
      <c r="D97" s="143"/>
      <c r="E97" s="128"/>
      <c r="F97" s="128"/>
      <c r="G97" s="83"/>
      <c r="H97" s="83"/>
      <c r="I97" s="83"/>
      <c r="J97" s="83"/>
      <c r="K97" s="83"/>
      <c r="L97" s="83"/>
      <c r="M97" s="83"/>
      <c r="N97" s="83"/>
      <c r="P97" s="108">
        <f t="shared" si="34"/>
        <v>1220</v>
      </c>
      <c r="Q97" s="357">
        <f t="shared" si="38"/>
        <v>132.13999999999999</v>
      </c>
      <c r="R97" s="357">
        <f t="shared" si="29"/>
        <v>115</v>
      </c>
      <c r="S97" s="357">
        <f t="shared" si="30"/>
        <v>99.28</v>
      </c>
      <c r="T97" s="357">
        <f t="shared" si="31"/>
        <v>80</v>
      </c>
      <c r="U97" s="479">
        <f t="shared" si="39"/>
        <v>1220</v>
      </c>
      <c r="V97" s="478">
        <f t="shared" si="40"/>
        <v>99.28</v>
      </c>
    </row>
    <row r="98" spans="1:22">
      <c r="A98" s="349"/>
      <c r="B98" s="349"/>
      <c r="C98" s="349"/>
      <c r="D98" s="349"/>
      <c r="E98" s="349"/>
      <c r="F98" s="349"/>
      <c r="G98" s="83"/>
      <c r="H98" s="83"/>
      <c r="I98" s="83"/>
      <c r="J98" s="83"/>
      <c r="K98" s="83"/>
      <c r="L98" s="83"/>
      <c r="M98" s="83"/>
      <c r="N98" s="83"/>
      <c r="P98" s="108">
        <f t="shared" si="34"/>
        <v>1230</v>
      </c>
      <c r="Q98" s="357">
        <f t="shared" si="38"/>
        <v>129.9</v>
      </c>
      <c r="R98" s="357">
        <f t="shared" si="29"/>
        <v>115</v>
      </c>
      <c r="S98" s="357">
        <f t="shared" si="30"/>
        <v>97.72</v>
      </c>
      <c r="T98" s="357">
        <f t="shared" si="31"/>
        <v>80</v>
      </c>
      <c r="U98" s="479">
        <f t="shared" si="39"/>
        <v>1230</v>
      </c>
      <c r="V98" s="478">
        <f t="shared" si="40"/>
        <v>97.72</v>
      </c>
    </row>
    <row r="99" spans="1:22">
      <c r="A99" s="129"/>
      <c r="B99" s="129"/>
      <c r="C99" s="129"/>
      <c r="D99" s="129"/>
      <c r="E99" s="129"/>
      <c r="F99" s="129"/>
      <c r="G99" s="83"/>
      <c r="H99" s="83"/>
      <c r="I99" s="83"/>
      <c r="J99" s="83"/>
      <c r="K99" s="83"/>
      <c r="L99" s="83"/>
      <c r="M99" s="83"/>
      <c r="N99" s="83"/>
      <c r="P99" s="108">
        <f t="shared" si="34"/>
        <v>1240</v>
      </c>
      <c r="Q99" s="357">
        <f t="shared" si="38"/>
        <v>127.68</v>
      </c>
      <c r="R99" s="357">
        <f t="shared" si="29"/>
        <v>115</v>
      </c>
      <c r="S99" s="357">
        <f t="shared" si="30"/>
        <v>96.18</v>
      </c>
      <c r="T99" s="357">
        <f t="shared" si="31"/>
        <v>80</v>
      </c>
      <c r="U99" s="479">
        <f t="shared" si="39"/>
        <v>1240</v>
      </c>
      <c r="V99" s="478">
        <f t="shared" si="40"/>
        <v>96.18</v>
      </c>
    </row>
    <row r="100" spans="1:22">
      <c r="A100" s="130"/>
      <c r="B100" s="130"/>
      <c r="C100" s="130"/>
      <c r="D100" s="83"/>
      <c r="E100" s="130"/>
      <c r="F100" s="130"/>
      <c r="G100" s="83"/>
      <c r="H100" s="83"/>
      <c r="I100" s="83"/>
      <c r="J100" s="83"/>
      <c r="K100" s="83"/>
      <c r="L100" s="83"/>
      <c r="M100" s="83"/>
      <c r="N100" s="83"/>
      <c r="P100" s="108">
        <f t="shared" si="34"/>
        <v>1250</v>
      </c>
      <c r="Q100" s="357">
        <f t="shared" si="38"/>
        <v>125.47</v>
      </c>
      <c r="R100" s="357">
        <f t="shared" si="29"/>
        <v>115</v>
      </c>
      <c r="S100" s="357">
        <f t="shared" si="30"/>
        <v>94.67</v>
      </c>
      <c r="T100" s="357">
        <f t="shared" si="31"/>
        <v>80</v>
      </c>
      <c r="U100" s="479">
        <f t="shared" si="39"/>
        <v>1250</v>
      </c>
      <c r="V100" s="478">
        <f t="shared" si="40"/>
        <v>94.67</v>
      </c>
    </row>
    <row r="101" spans="1:22">
      <c r="A101" s="131"/>
      <c r="B101" s="131"/>
      <c r="C101" s="131"/>
      <c r="D101" s="83"/>
      <c r="E101" s="131"/>
      <c r="F101" s="131"/>
      <c r="G101" s="83"/>
      <c r="H101" s="83"/>
      <c r="I101" s="83"/>
      <c r="J101" s="83"/>
      <c r="K101" s="83"/>
      <c r="L101" s="83"/>
      <c r="M101" s="83"/>
      <c r="N101" s="83"/>
      <c r="P101" s="108">
        <f t="shared" si="34"/>
        <v>1260</v>
      </c>
      <c r="Q101" s="357">
        <f t="shared" si="38"/>
        <v>123.28</v>
      </c>
      <c r="R101" s="357">
        <f t="shared" si="29"/>
        <v>115</v>
      </c>
      <c r="S101" s="357">
        <f t="shared" si="30"/>
        <v>93.18</v>
      </c>
      <c r="T101" s="357">
        <f t="shared" si="31"/>
        <v>80</v>
      </c>
      <c r="U101" s="479">
        <f t="shared" si="39"/>
        <v>1260</v>
      </c>
      <c r="V101" s="478">
        <f t="shared" si="40"/>
        <v>93.18</v>
      </c>
    </row>
    <row r="102" spans="1:22">
      <c r="A102" s="128"/>
      <c r="B102" s="128"/>
      <c r="C102" s="128"/>
      <c r="D102" s="83"/>
      <c r="E102" s="128"/>
      <c r="F102" s="128"/>
      <c r="G102" s="83"/>
      <c r="H102" s="83"/>
      <c r="I102" s="83"/>
      <c r="J102" s="83"/>
      <c r="K102" s="83"/>
      <c r="L102" s="83"/>
      <c r="M102" s="83"/>
      <c r="N102" s="83"/>
      <c r="P102" s="108">
        <f t="shared" si="34"/>
        <v>1270</v>
      </c>
      <c r="Q102" s="357">
        <f t="shared" si="38"/>
        <v>121.1</v>
      </c>
      <c r="R102" s="357">
        <f t="shared" si="29"/>
        <v>115</v>
      </c>
      <c r="S102" s="357">
        <f t="shared" si="30"/>
        <v>91.71</v>
      </c>
      <c r="T102" s="357">
        <f t="shared" si="31"/>
        <v>80</v>
      </c>
      <c r="U102" s="479">
        <f t="shared" si="39"/>
        <v>1270</v>
      </c>
      <c r="V102" s="478">
        <f t="shared" si="40"/>
        <v>91.71</v>
      </c>
    </row>
    <row r="103" spans="1:22">
      <c r="A103" s="350"/>
      <c r="B103" s="350"/>
      <c r="C103" s="350"/>
      <c r="D103" s="350"/>
      <c r="E103" s="350"/>
      <c r="F103" s="350"/>
      <c r="G103" s="83"/>
      <c r="H103" s="83"/>
      <c r="I103" s="83"/>
      <c r="J103" s="83"/>
      <c r="K103" s="83"/>
      <c r="L103" s="83"/>
      <c r="M103" s="83"/>
      <c r="N103" s="83"/>
      <c r="P103" s="108">
        <f t="shared" si="34"/>
        <v>1280</v>
      </c>
      <c r="Q103" s="357">
        <f t="shared" si="38"/>
        <v>118.92</v>
      </c>
      <c r="R103" s="357">
        <f t="shared" si="29"/>
        <v>115</v>
      </c>
      <c r="S103" s="357">
        <f t="shared" si="30"/>
        <v>90.26</v>
      </c>
      <c r="T103" s="357">
        <f t="shared" si="31"/>
        <v>80</v>
      </c>
      <c r="U103" s="479">
        <f t="shared" si="39"/>
        <v>1280</v>
      </c>
      <c r="V103" s="478">
        <f t="shared" si="40"/>
        <v>90.26</v>
      </c>
    </row>
    <row r="104" spans="1:22">
      <c r="A104" s="83"/>
      <c r="B104" s="83"/>
      <c r="C104" s="83"/>
      <c r="D104" s="83"/>
      <c r="E104" s="83"/>
      <c r="F104" s="83"/>
      <c r="G104" s="83"/>
      <c r="H104" s="83"/>
      <c r="I104" s="83"/>
      <c r="J104" s="83"/>
      <c r="K104" s="83"/>
      <c r="L104" s="83"/>
      <c r="M104" s="83"/>
      <c r="N104" s="83"/>
      <c r="P104" s="108">
        <f t="shared" si="34"/>
        <v>1290</v>
      </c>
      <c r="Q104" s="357">
        <f t="shared" si="38"/>
        <v>116.75</v>
      </c>
      <c r="R104" s="357">
        <f t="shared" si="29"/>
        <v>115</v>
      </c>
      <c r="S104" s="357">
        <f t="shared" si="30"/>
        <v>88.83</v>
      </c>
      <c r="T104" s="357">
        <f t="shared" si="31"/>
        <v>80</v>
      </c>
      <c r="U104" s="479">
        <f t="shared" si="39"/>
        <v>1290</v>
      </c>
      <c r="V104" s="478">
        <f t="shared" si="40"/>
        <v>88.83</v>
      </c>
    </row>
    <row r="105" spans="1:22">
      <c r="A105" s="351"/>
      <c r="B105" s="351"/>
      <c r="C105" s="352"/>
      <c r="D105" s="83"/>
      <c r="E105" s="352"/>
      <c r="F105" s="352"/>
      <c r="G105" s="83"/>
      <c r="H105" s="83"/>
      <c r="I105" s="83"/>
      <c r="J105" s="83"/>
      <c r="K105" s="83"/>
      <c r="L105" s="83"/>
      <c r="M105" s="83"/>
      <c r="N105" s="83"/>
      <c r="P105" s="108">
        <f t="shared" si="34"/>
        <v>1300</v>
      </c>
      <c r="Q105" s="357">
        <f t="shared" si="38"/>
        <v>115</v>
      </c>
      <c r="R105" s="357">
        <f t="shared" si="29"/>
        <v>115</v>
      </c>
      <c r="S105" s="357">
        <f t="shared" si="30"/>
        <v>87.42</v>
      </c>
      <c r="T105" s="357">
        <f t="shared" si="31"/>
        <v>80</v>
      </c>
      <c r="U105" s="479">
        <f t="shared" si="39"/>
        <v>1300</v>
      </c>
      <c r="V105" s="478">
        <f t="shared" si="40"/>
        <v>87.42</v>
      </c>
    </row>
    <row r="106" spans="1:22">
      <c r="A106" s="328"/>
      <c r="B106" s="328"/>
      <c r="C106" s="328"/>
      <c r="D106" s="83"/>
      <c r="E106" s="328"/>
      <c r="F106" s="328"/>
      <c r="G106" s="83"/>
      <c r="H106" s="83"/>
      <c r="I106" s="83"/>
      <c r="J106" s="83"/>
      <c r="K106" s="83"/>
      <c r="L106" s="83"/>
      <c r="M106" s="83"/>
      <c r="N106" s="83"/>
      <c r="P106" s="108">
        <f t="shared" si="34"/>
        <v>1310</v>
      </c>
      <c r="Q106" s="357">
        <f t="shared" si="38"/>
        <v>115</v>
      </c>
      <c r="R106" s="357">
        <f t="shared" si="29"/>
        <v>115</v>
      </c>
      <c r="S106" s="357">
        <f t="shared" si="30"/>
        <v>86.01</v>
      </c>
      <c r="T106" s="357">
        <f t="shared" si="31"/>
        <v>80</v>
      </c>
      <c r="U106" s="479">
        <f t="shared" si="39"/>
        <v>1310</v>
      </c>
      <c r="V106" s="478">
        <f t="shared" si="40"/>
        <v>86.01</v>
      </c>
    </row>
    <row r="107" spans="1:22">
      <c r="A107" s="328"/>
      <c r="B107" s="328"/>
      <c r="C107" s="328"/>
      <c r="D107" s="83"/>
      <c r="E107" s="328"/>
      <c r="F107" s="328"/>
      <c r="G107" s="83"/>
      <c r="H107" s="83"/>
      <c r="I107" s="83"/>
      <c r="J107" s="83"/>
      <c r="K107" s="83"/>
      <c r="L107" s="83"/>
      <c r="M107" s="83"/>
      <c r="N107" s="83"/>
      <c r="P107" s="108">
        <f t="shared" si="34"/>
        <v>1320</v>
      </c>
      <c r="Q107" s="357">
        <f t="shared" si="38"/>
        <v>115</v>
      </c>
      <c r="R107" s="357">
        <f t="shared" si="29"/>
        <v>115</v>
      </c>
      <c r="S107" s="357">
        <f t="shared" si="30"/>
        <v>84.62</v>
      </c>
      <c r="T107" s="357">
        <f t="shared" si="31"/>
        <v>80</v>
      </c>
      <c r="U107" s="479">
        <f t="shared" si="39"/>
        <v>1320</v>
      </c>
      <c r="V107" s="478">
        <f t="shared" si="40"/>
        <v>84.62</v>
      </c>
    </row>
    <row r="108" spans="1:22">
      <c r="A108" s="328"/>
      <c r="B108" s="328"/>
      <c r="C108" s="328"/>
      <c r="D108" s="83"/>
      <c r="E108" s="328"/>
      <c r="F108" s="328"/>
      <c r="G108" s="83"/>
      <c r="H108" s="83"/>
      <c r="I108" s="83"/>
      <c r="J108" s="83"/>
      <c r="K108" s="83"/>
      <c r="L108" s="83"/>
      <c r="M108" s="83"/>
      <c r="N108" s="83"/>
      <c r="P108" s="108">
        <f t="shared" si="34"/>
        <v>1330</v>
      </c>
      <c r="Q108" s="357">
        <f t="shared" si="38"/>
        <v>115</v>
      </c>
      <c r="R108" s="357">
        <f t="shared" si="29"/>
        <v>115</v>
      </c>
      <c r="S108" s="357">
        <f t="shared" si="30"/>
        <v>83.24</v>
      </c>
      <c r="T108" s="357">
        <f t="shared" si="31"/>
        <v>80</v>
      </c>
      <c r="U108" s="479">
        <f t="shared" si="39"/>
        <v>1330</v>
      </c>
      <c r="V108" s="478">
        <f t="shared" si="40"/>
        <v>83.24</v>
      </c>
    </row>
    <row r="109" spans="1:22">
      <c r="A109" s="328"/>
      <c r="B109" s="328"/>
      <c r="C109" s="328"/>
      <c r="D109" s="83"/>
      <c r="E109" s="328"/>
      <c r="F109" s="328"/>
      <c r="G109" s="83"/>
      <c r="H109" s="83"/>
      <c r="I109" s="83"/>
      <c r="J109" s="83"/>
      <c r="K109" s="83"/>
      <c r="L109" s="83"/>
      <c r="M109" s="83"/>
      <c r="N109" s="83"/>
      <c r="P109" s="108">
        <f t="shared" si="34"/>
        <v>1340</v>
      </c>
      <c r="Q109" s="357">
        <f t="shared" si="38"/>
        <v>115</v>
      </c>
      <c r="R109" s="357">
        <f t="shared" si="29"/>
        <v>115</v>
      </c>
      <c r="S109" s="357">
        <f t="shared" si="30"/>
        <v>81.87</v>
      </c>
      <c r="T109" s="357">
        <f t="shared" si="31"/>
        <v>80</v>
      </c>
      <c r="U109" s="479">
        <f t="shared" si="39"/>
        <v>1340</v>
      </c>
      <c r="V109" s="478">
        <f t="shared" si="40"/>
        <v>81.87</v>
      </c>
    </row>
    <row r="110" spans="1:22">
      <c r="A110" s="83"/>
      <c r="B110" s="83"/>
      <c r="C110" s="83"/>
      <c r="D110" s="83"/>
      <c r="E110" s="83"/>
      <c r="F110" s="83"/>
      <c r="G110" s="83"/>
      <c r="H110" s="83"/>
      <c r="I110" s="83"/>
      <c r="J110" s="83"/>
      <c r="K110" s="83"/>
      <c r="L110" s="83"/>
      <c r="M110" s="83"/>
      <c r="N110" s="83"/>
      <c r="P110" s="108">
        <f t="shared" si="34"/>
        <v>1350</v>
      </c>
      <c r="Q110" s="357">
        <f t="shared" si="38"/>
        <v>115</v>
      </c>
      <c r="R110" s="357">
        <f t="shared" si="29"/>
        <v>115</v>
      </c>
      <c r="S110" s="357">
        <f t="shared" si="30"/>
        <v>80.5</v>
      </c>
      <c r="T110" s="357">
        <f t="shared" si="31"/>
        <v>80</v>
      </c>
      <c r="U110" s="479">
        <f t="shared" si="39"/>
        <v>1350</v>
      </c>
      <c r="V110" s="478">
        <f t="shared" si="40"/>
        <v>80.5</v>
      </c>
    </row>
    <row r="111" spans="1:22">
      <c r="A111" s="353"/>
      <c r="B111" s="353"/>
      <c r="C111" s="343"/>
      <c r="D111" s="343"/>
      <c r="E111" s="83"/>
      <c r="F111" s="83"/>
      <c r="G111" s="83"/>
      <c r="H111" s="83"/>
      <c r="I111" s="83"/>
      <c r="J111" s="83"/>
      <c r="K111" s="83"/>
      <c r="L111" s="83"/>
      <c r="M111" s="83"/>
      <c r="N111" s="83"/>
      <c r="P111" s="108">
        <f t="shared" si="34"/>
        <v>1360</v>
      </c>
      <c r="Q111" s="357">
        <f t="shared" si="38"/>
        <v>115</v>
      </c>
      <c r="R111" s="357">
        <f t="shared" si="29"/>
        <v>115</v>
      </c>
      <c r="S111" s="357">
        <f t="shared" si="30"/>
        <v>80</v>
      </c>
      <c r="T111" s="357">
        <f t="shared" si="31"/>
        <v>80</v>
      </c>
      <c r="U111" s="479">
        <f t="shared" si="39"/>
        <v>1360</v>
      </c>
      <c r="V111" s="478">
        <f t="shared" si="40"/>
        <v>80</v>
      </c>
    </row>
    <row r="112" spans="1:22">
      <c r="A112" s="131"/>
      <c r="B112" s="83"/>
      <c r="C112" s="343"/>
      <c r="D112" s="343"/>
      <c r="E112" s="83"/>
      <c r="F112" s="83"/>
      <c r="G112" s="83"/>
      <c r="H112" s="83"/>
      <c r="I112" s="83"/>
      <c r="J112" s="83"/>
      <c r="K112" s="83"/>
      <c r="L112" s="83"/>
      <c r="M112" s="83"/>
      <c r="N112" s="83"/>
      <c r="P112" s="108">
        <f t="shared" si="34"/>
        <v>1370</v>
      </c>
      <c r="Q112" s="357">
        <f t="shared" si="38"/>
        <v>115</v>
      </c>
      <c r="R112" s="357">
        <f t="shared" si="29"/>
        <v>115</v>
      </c>
      <c r="S112" s="357">
        <f t="shared" si="30"/>
        <v>80</v>
      </c>
      <c r="T112" s="357">
        <f t="shared" si="31"/>
        <v>80</v>
      </c>
      <c r="U112" s="479">
        <f t="shared" si="39"/>
        <v>1370</v>
      </c>
      <c r="V112" s="478">
        <f t="shared" si="40"/>
        <v>80</v>
      </c>
    </row>
    <row r="113" spans="1:22">
      <c r="A113" s="353"/>
      <c r="B113" s="353"/>
      <c r="C113" s="343"/>
      <c r="D113" s="343"/>
      <c r="E113" s="83"/>
      <c r="F113" s="83"/>
      <c r="G113" s="83"/>
      <c r="H113" s="83"/>
      <c r="I113" s="83"/>
      <c r="J113" s="83"/>
      <c r="K113" s="83"/>
      <c r="L113" s="83"/>
      <c r="M113" s="83"/>
      <c r="N113" s="83"/>
      <c r="P113" s="108">
        <f t="shared" si="34"/>
        <v>1380</v>
      </c>
      <c r="Q113" s="357">
        <f t="shared" si="38"/>
        <v>115</v>
      </c>
      <c r="R113" s="357">
        <f t="shared" si="29"/>
        <v>115</v>
      </c>
      <c r="S113" s="357">
        <f t="shared" si="30"/>
        <v>80</v>
      </c>
      <c r="T113" s="357">
        <f t="shared" si="31"/>
        <v>80</v>
      </c>
      <c r="U113" s="479">
        <f t="shared" si="39"/>
        <v>1380</v>
      </c>
      <c r="V113" s="478">
        <f t="shared" si="40"/>
        <v>80</v>
      </c>
    </row>
    <row r="114" spans="1:22">
      <c r="A114" s="131"/>
      <c r="B114" s="83"/>
      <c r="C114" s="83"/>
      <c r="D114" s="83"/>
      <c r="E114" s="83"/>
      <c r="F114" s="83"/>
      <c r="G114" s="83"/>
      <c r="H114" s="83"/>
      <c r="I114" s="83"/>
      <c r="J114" s="83"/>
      <c r="K114" s="83"/>
      <c r="L114" s="83"/>
      <c r="M114" s="83"/>
      <c r="N114" s="83"/>
      <c r="P114" s="108">
        <f t="shared" si="34"/>
        <v>1390</v>
      </c>
      <c r="Q114" s="357">
        <f t="shared" si="38"/>
        <v>115</v>
      </c>
      <c r="R114" s="357">
        <f t="shared" si="29"/>
        <v>115</v>
      </c>
      <c r="S114" s="357">
        <f t="shared" si="30"/>
        <v>80</v>
      </c>
      <c r="T114" s="357">
        <f t="shared" si="31"/>
        <v>80</v>
      </c>
      <c r="U114" s="479">
        <f t="shared" si="39"/>
        <v>1390</v>
      </c>
      <c r="V114" s="478">
        <f t="shared" si="40"/>
        <v>80</v>
      </c>
    </row>
    <row r="115" spans="1:22">
      <c r="A115" s="83"/>
      <c r="B115" s="83"/>
      <c r="C115" s="83"/>
      <c r="D115" s="83"/>
      <c r="E115" s="83"/>
      <c r="F115" s="83"/>
      <c r="G115" s="83"/>
      <c r="H115" s="83"/>
      <c r="I115" s="83"/>
      <c r="J115" s="83"/>
      <c r="K115" s="83"/>
      <c r="L115" s="83"/>
      <c r="M115" s="83"/>
      <c r="N115" s="83"/>
      <c r="P115" s="108">
        <f t="shared" si="34"/>
        <v>1400</v>
      </c>
      <c r="Q115" s="357">
        <f t="shared" si="38"/>
        <v>115</v>
      </c>
      <c r="R115" s="357">
        <f t="shared" si="29"/>
        <v>115</v>
      </c>
      <c r="S115" s="357">
        <f t="shared" si="30"/>
        <v>80</v>
      </c>
      <c r="T115" s="357">
        <f t="shared" si="31"/>
        <v>80</v>
      </c>
      <c r="U115" s="479">
        <f t="shared" si="39"/>
        <v>1400</v>
      </c>
      <c r="V115" s="478">
        <f t="shared" si="40"/>
        <v>80</v>
      </c>
    </row>
    <row r="116" spans="1:22">
      <c r="A116" s="354"/>
      <c r="B116" s="355"/>
      <c r="C116" s="83"/>
      <c r="D116" s="83"/>
      <c r="E116" s="83"/>
      <c r="F116" s="83"/>
      <c r="G116" s="83"/>
      <c r="H116" s="83"/>
      <c r="I116" s="83"/>
      <c r="J116" s="83"/>
      <c r="K116" s="83"/>
      <c r="L116" s="83"/>
      <c r="M116" s="83"/>
      <c r="N116" s="83"/>
      <c r="P116" s="358"/>
      <c r="Q116" s="359"/>
      <c r="R116" s="359"/>
      <c r="S116" s="359"/>
      <c r="T116" s="359"/>
      <c r="U116" s="361"/>
      <c r="V116" s="361"/>
    </row>
    <row r="117" spans="1:22">
      <c r="A117" s="355"/>
      <c r="B117" s="355"/>
      <c r="C117" s="83"/>
      <c r="D117" s="83"/>
      <c r="E117" s="83"/>
      <c r="F117" s="83"/>
      <c r="G117" s="83"/>
      <c r="H117" s="83"/>
      <c r="I117" s="83"/>
      <c r="J117" s="83"/>
      <c r="K117" s="83"/>
      <c r="L117" s="83"/>
      <c r="M117" s="83"/>
      <c r="N117" s="83"/>
      <c r="P117" s="360"/>
      <c r="Q117" s="361"/>
      <c r="R117" s="361"/>
      <c r="S117" s="361"/>
      <c r="T117" s="361"/>
      <c r="U117" s="361"/>
      <c r="V117" s="361"/>
    </row>
    <row r="118" spans="1:22">
      <c r="P118" s="360"/>
      <c r="Q118" s="361"/>
      <c r="R118" s="361"/>
      <c r="S118" s="361"/>
      <c r="T118" s="361"/>
      <c r="U118" s="361"/>
      <c r="V118" s="361"/>
    </row>
    <row r="119" spans="1:22">
      <c r="P119" s="360"/>
      <c r="Q119" s="361"/>
      <c r="R119" s="361"/>
      <c r="S119" s="361"/>
      <c r="T119" s="361"/>
      <c r="U119" s="361"/>
      <c r="V119" s="361"/>
    </row>
    <row r="120" spans="1:22">
      <c r="P120" s="360"/>
      <c r="Q120" s="361"/>
      <c r="R120" s="361"/>
      <c r="S120" s="361"/>
      <c r="T120" s="361"/>
      <c r="U120" s="361"/>
      <c r="V120" s="361"/>
    </row>
    <row r="121" spans="1:22">
      <c r="P121" s="360"/>
      <c r="Q121" s="361"/>
      <c r="R121" s="361"/>
      <c r="S121" s="361"/>
      <c r="T121" s="361"/>
      <c r="U121" s="361"/>
      <c r="V121" s="361"/>
    </row>
    <row r="122" spans="1:22">
      <c r="P122" s="360"/>
      <c r="Q122" s="361"/>
      <c r="R122" s="361"/>
      <c r="S122" s="361"/>
      <c r="T122" s="361"/>
      <c r="U122" s="361"/>
      <c r="V122" s="361"/>
    </row>
    <row r="123" spans="1:22">
      <c r="P123" s="360"/>
      <c r="Q123" s="361"/>
      <c r="R123" s="361"/>
      <c r="S123" s="361"/>
      <c r="T123" s="361"/>
      <c r="U123" s="361"/>
      <c r="V123" s="361"/>
    </row>
    <row r="124" spans="1:22">
      <c r="P124" s="360"/>
      <c r="Q124" s="361"/>
      <c r="R124" s="361"/>
      <c r="S124" s="361"/>
      <c r="T124" s="361"/>
      <c r="U124" s="361"/>
      <c r="V124" s="361"/>
    </row>
    <row r="125" spans="1:22">
      <c r="P125" s="360"/>
      <c r="Q125" s="361"/>
      <c r="R125" s="361"/>
      <c r="S125" s="361"/>
      <c r="T125" s="361"/>
      <c r="U125" s="361"/>
      <c r="V125" s="361"/>
    </row>
  </sheetData>
  <mergeCells count="49">
    <mergeCell ref="A3:D3"/>
    <mergeCell ref="B19:D19"/>
    <mergeCell ref="G19:I19"/>
    <mergeCell ref="D30:G30"/>
    <mergeCell ref="H30:K30"/>
    <mergeCell ref="F3:I3"/>
    <mergeCell ref="K3:N3"/>
    <mergeCell ref="G4:H4"/>
    <mergeCell ref="G5:H5"/>
    <mergeCell ref="L4:M4"/>
    <mergeCell ref="L5:M5"/>
    <mergeCell ref="B4:C4"/>
    <mergeCell ref="B5:C5"/>
    <mergeCell ref="A10:D10"/>
    <mergeCell ref="F10:I10"/>
    <mergeCell ref="F11:I11"/>
    <mergeCell ref="X1:AB1"/>
    <mergeCell ref="P1:T1"/>
    <mergeCell ref="A1:N1"/>
    <mergeCell ref="A2:D2"/>
    <mergeCell ref="F2:I2"/>
    <mergeCell ref="K2:N2"/>
    <mergeCell ref="B6:C6"/>
    <mergeCell ref="B7:C7"/>
    <mergeCell ref="B8:C8"/>
    <mergeCell ref="K10:N10"/>
    <mergeCell ref="G6:H6"/>
    <mergeCell ref="G7:H7"/>
    <mergeCell ref="G8:H8"/>
    <mergeCell ref="L6:M6"/>
    <mergeCell ref="L7:M7"/>
    <mergeCell ref="L8:M8"/>
    <mergeCell ref="L15:M15"/>
    <mergeCell ref="B13:C13"/>
    <mergeCell ref="B14:C14"/>
    <mergeCell ref="B15:C15"/>
    <mergeCell ref="L16:M16"/>
    <mergeCell ref="B16:C16"/>
    <mergeCell ref="G13:H13"/>
    <mergeCell ref="G16:H16"/>
    <mergeCell ref="G14:H14"/>
    <mergeCell ref="G15:H15"/>
    <mergeCell ref="K11:N11"/>
    <mergeCell ref="A11:D11"/>
    <mergeCell ref="L12:M12"/>
    <mergeCell ref="L13:M13"/>
    <mergeCell ref="L14:M14"/>
    <mergeCell ref="G12:H12"/>
    <mergeCell ref="B12:C1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4</vt:i4>
      </vt:variant>
    </vt:vector>
  </HeadingPairs>
  <TitlesOfParts>
    <vt:vector size="17" baseType="lpstr">
      <vt:lpstr>Warrant 1</vt:lpstr>
      <vt:lpstr>Warrant 2</vt:lpstr>
      <vt:lpstr>Warrant 3</vt:lpstr>
      <vt:lpstr>Warrant 4</vt:lpstr>
      <vt:lpstr>Warrant 5&amp;6</vt:lpstr>
      <vt:lpstr>Warrant 7&amp;8</vt:lpstr>
      <vt:lpstr>Warrant 9</vt:lpstr>
      <vt:lpstr>Data</vt:lpstr>
      <vt:lpstr>W2Calc</vt:lpstr>
      <vt:lpstr>W3Calc</vt:lpstr>
      <vt:lpstr>W4Calc</vt:lpstr>
      <vt:lpstr>W9Calc</vt:lpstr>
      <vt:lpstr>Summary</vt:lpstr>
      <vt:lpstr>'Warrant 1'!Print_Area</vt:lpstr>
      <vt:lpstr>'Warrant 2'!Print_Area</vt:lpstr>
      <vt:lpstr>'Warrant 3'!Print_Area</vt:lpstr>
      <vt:lpstr>'Warrant 4'!Print_Area</vt:lpstr>
    </vt:vector>
  </TitlesOfParts>
  <Company>Alabama Department of Transportation</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Transportation Manager</dc:title>
  <dc:subject>Warrant Analysis Form</dc:subject>
  <dc:creator>Robert Blankenship</dc:creator>
  <cp:keywords>Warrants, MUTCD 2009</cp:keywords>
  <dc:description>Warrant Analysis Form produced in Excel 2007.  Protected document.  Fill in highlighted yellow areas only.  Compatibiltiy with older or newer Excel programs not verified, use at own risk.</dc:description>
  <cp:lastModifiedBy>blankenshipr</cp:lastModifiedBy>
  <cp:lastPrinted>2011-05-10T19:45:22Z</cp:lastPrinted>
  <dcterms:created xsi:type="dcterms:W3CDTF">2011-03-17T20:38:35Z</dcterms:created>
  <dcterms:modified xsi:type="dcterms:W3CDTF">2012-04-02T14:38:28Z</dcterms:modified>
  <cp:category>Traffic</cp:category>
  <cp:contentStatus>Final</cp:contentStatus>
</cp:coreProperties>
</file>